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larmni Elementi" sheetId="1" r:id="rId1"/>
    <sheet name="Alat" sheetId="2" r:id="rId2"/>
    <sheet name="Automatski Osigurači" sheetId="3" r:id="rId3"/>
    <sheet name="Bimetalna Zaštita" sheetId="4" r:id="rId4"/>
    <sheet name="Brojači" sheetId="5" r:id="rId5"/>
    <sheet name="Data Logeri" sheetId="6" r:id="rId6"/>
    <sheet name="Davači Sile" sheetId="7" r:id="rId7"/>
    <sheet name="Davači Sile - Oprema" sheetId="8" r:id="rId8"/>
    <sheet name="DPP" sheetId="9" r:id="rId9"/>
    <sheet name="DPP - Oprema" sheetId="10" r:id="rId10"/>
    <sheet name="Elektromagneti" sheetId="11" r:id="rId11"/>
    <sheet name="EMI Filteri" sheetId="12" r:id="rId12"/>
    <sheet name="Enkoderi" sheetId="13" r:id="rId13"/>
    <sheet name="Fazne Zaštite" sheetId="14" r:id="rId14"/>
    <sheet name="Grebenasti Prekidači" sheetId="15" r:id="rId15"/>
    <sheet name="Hibridni Step Servo" sheetId="16" r:id="rId16"/>
    <sheet name="Hidrostati" sheetId="17" r:id="rId17"/>
    <sheet name="Hladnjaci" sheetId="18" r:id="rId18"/>
    <sheet name="Industrijski Konektori" sheetId="19" r:id="rId19"/>
    <sheet name="Invertori" sheetId="20" r:id="rId20"/>
    <sheet name="Kablovi" sheetId="21" r:id="rId21"/>
    <sheet name="Kočioni Moduli" sheetId="22" r:id="rId22"/>
    <sheet name="Kočioni Otpornici" sheetId="23" r:id="rId23"/>
    <sheet name="Komandne Palice" sheetId="24" r:id="rId24"/>
    <sheet name="Komunikacioni Konverteri" sheetId="25" r:id="rId25"/>
    <sheet name="Konektori" sheetId="26" r:id="rId26"/>
    <sheet name="Kontroler Inkubatora" sheetId="27" r:id="rId27"/>
    <sheet name="Kontroleri Nivoa" sheetId="28" r:id="rId28"/>
    <sheet name="Krajnji i Mikro Prekidači" sheetId="29" r:id="rId29"/>
    <sheet name="LED Displeji" sheetId="30" r:id="rId30"/>
    <sheet name="Magneti" sheetId="31" r:id="rId31"/>
    <sheet name="Mehanički Brojači" sheetId="32" r:id="rId32"/>
    <sheet name="Merna Oprema" sheetId="33" r:id="rId33"/>
    <sheet name="Merne Letve" sheetId="34" r:id="rId34"/>
    <sheet name="Motorne Zaštite" sheetId="35" r:id="rId35"/>
    <sheet name="Motorni Prekidači" sheetId="36" r:id="rId36"/>
    <sheet name="Nagazne Papuče" sheetId="37" r:id="rId37"/>
    <sheet name="Napajanja" sheetId="38" r:id="rId38"/>
    <sheet name="Operator Paneli" sheetId="39" r:id="rId39"/>
    <sheet name="Oprema za Ugradnju" sheetId="40" r:id="rId40"/>
    <sheet name="Ormani i Kutije" sheetId="41" r:id="rId41"/>
    <sheet name="Ormani i Kutije - Oprema" sheetId="42" r:id="rId42"/>
    <sheet name="Osigurači" sheetId="43" r:id="rId43"/>
    <sheet name="Panelmetri" sheetId="44" r:id="rId44"/>
    <sheet name="Pasivne Komponente" sheetId="45" r:id="rId45"/>
    <sheet name="PLC" sheetId="46" r:id="rId46"/>
    <sheet name="PLC - Oprema" sheetId="47" r:id="rId47"/>
    <sheet name="Plovci" sheetId="48" r:id="rId48"/>
    <sheet name="Reed Senzori" sheetId="49" r:id="rId49"/>
    <sheet name="Regulatori Napona" sheetId="50" r:id="rId50"/>
    <sheet name="Regulatori Vlage i Temperature" sheetId="51" r:id="rId51"/>
    <sheet name="Relei" sheetId="52" r:id="rId52"/>
    <sheet name="Relei - Oprema" sheetId="53" r:id="rId53"/>
    <sheet name="Ručni Pultevi" sheetId="54" r:id="rId54"/>
    <sheet name="Šant Otpornici" sheetId="55" r:id="rId55"/>
    <sheet name="Senzori" sheetId="56" r:id="rId56"/>
    <sheet name="Senzori - Oprema" sheetId="57" r:id="rId57"/>
    <sheet name="Servo Kablovi" sheetId="58" r:id="rId58"/>
    <sheet name="Servo Motori" sheetId="59" r:id="rId59"/>
    <sheet name="Servo Reduktori" sheetId="60" r:id="rId60"/>
    <sheet name="Servo Regulatori" sheetId="61" r:id="rId61"/>
    <sheet name="Signalne Sijalice" sheetId="62" r:id="rId62"/>
    <sheet name="Silikonska Pasta" sheetId="63" r:id="rId63"/>
    <sheet name="Sklopke" sheetId="64" r:id="rId64"/>
    <sheet name="Soft Starteri" sheetId="65" r:id="rId65"/>
    <sheet name="Spojnice" sheetId="66" r:id="rId66"/>
    <sheet name="SSR" sheetId="67" r:id="rId67"/>
    <sheet name="Step Sistemi" sheetId="68" r:id="rId68"/>
    <sheet name="Strujni i Naponski Transduktori" sheetId="69" r:id="rId69"/>
    <sheet name="Strujni Transformatori" sheetId="70" r:id="rId70"/>
    <sheet name="Tajmeri" sheetId="71" r:id="rId71"/>
    <sheet name="Tasteri i Prekidači" sheetId="72" r:id="rId72"/>
    <sheet name="Tasteri i Prekidači - Oprema" sheetId="73" r:id="rId73"/>
    <sheet name="Tegovi" sheetId="74" r:id="rId74"/>
    <sheet name="Temperaturne Sonde" sheetId="75" r:id="rId75"/>
    <sheet name="Temperaturne Sonde - Oprema" sheetId="76" r:id="rId76"/>
    <sheet name="Termoregulatori" sheetId="77" r:id="rId77"/>
    <sheet name="Termostati" sheetId="78" r:id="rId78"/>
    <sheet name="Tiristorski Regulatori Snage" sheetId="79" r:id="rId79"/>
    <sheet name="Točkovi za Enkodere" sheetId="80" r:id="rId80"/>
    <sheet name="Transmiteri" sheetId="81" r:id="rId81"/>
    <sheet name="Uvodnice" sheetId="82" r:id="rId82"/>
    <sheet name="Vage" sheetId="83" r:id="rId83"/>
    <sheet name="Vage - Oprema" sheetId="84" r:id="rId84"/>
    <sheet name="Ventilatori" sheetId="85" r:id="rId85"/>
    <sheet name="Ventilatori - Oprema" sheetId="86" r:id="rId86"/>
    <sheet name="VF Motori" sheetId="87" r:id="rId87"/>
    <sheet name="VF Motori - Oprema" sheetId="88" r:id="rId88"/>
  </sheets>
  <definedNames/>
  <calcPr fullCalcOnLoad="1"/>
</workbook>
</file>

<file path=xl/sharedStrings.xml><?xml version="1.0" encoding="utf-8"?>
<sst xmlns="http://schemas.openxmlformats.org/spreadsheetml/2006/main" count="5846" uniqueCount="4874">
  <si>
    <t>Rb.</t>
  </si>
  <si>
    <t>Ime</t>
  </si>
  <si>
    <t>Opis</t>
  </si>
  <si>
    <t>Kom.</t>
  </si>
  <si>
    <t>Cena €</t>
  </si>
  <si>
    <t>Link</t>
  </si>
  <si>
    <t>MS-290 220V</t>
  </si>
  <si>
    <t>Alarmna Sirena - 110dB, 220V AC, IP44</t>
  </si>
  <si>
    <t>MS-290 24V</t>
  </si>
  <si>
    <t>Alarmna Sirena - 110dB, 24V DC, IP44</t>
  </si>
  <si>
    <t>FM-2 220V</t>
  </si>
  <si>
    <t>Alarmna Sirena - 80dB, 220V AC, IP40</t>
  </si>
  <si>
    <t>FM-3 220V</t>
  </si>
  <si>
    <t>FM-3 24V</t>
  </si>
  <si>
    <t>Alarmna Sirena - 80dB, 24V DC, IP40</t>
  </si>
  <si>
    <t>FM-2 24V</t>
  </si>
  <si>
    <t>HA-2</t>
  </si>
  <si>
    <t>Alarmni Taster - 8A, 220V AC, IP44</t>
  </si>
  <si>
    <t>AD116-22DSF Crvena 220V</t>
  </si>
  <si>
    <t>Blinkajuća Sijalica - Crvena, Ø22mm, 220V AC</t>
  </si>
  <si>
    <t>AD116-22DSF Crvena 24V</t>
  </si>
  <si>
    <t>Blinkajuća Sijalica - Crvena, Ø22mm, 24V AC/DC</t>
  </si>
  <si>
    <t>AD116-22DSF Zelena 220V</t>
  </si>
  <si>
    <t>Blinkajuća Sijalica - Zelena, Ø22mm, 220V AC</t>
  </si>
  <si>
    <t>AD116-22DSF Zelena 24V</t>
  </si>
  <si>
    <t>Blinkajuća Sijalica - Zelena, Ø22mm, 24V AC/DC</t>
  </si>
  <si>
    <t>AD116-22DSF Žuta 220V</t>
  </si>
  <si>
    <t>Blinkajuća Sijalica - Žuta, Ø22mm, 220V AC</t>
  </si>
  <si>
    <t>AD116-22DSF Žuta 24V</t>
  </si>
  <si>
    <t>Blinkajuća Sijalica - Žuta, Ø22mm, 24V AC/DC</t>
  </si>
  <si>
    <t>LTE-1081 Crveno 12V</t>
  </si>
  <si>
    <t>Rotaciono Svetlo - Crveno, 12V DC</t>
  </si>
  <si>
    <t>LTE-1081 Crveno 220V</t>
  </si>
  <si>
    <t>Rotaciono Svetlo - Crveno, 220V AC</t>
  </si>
  <si>
    <t>LTE-1081 Crveno 24V</t>
  </si>
  <si>
    <t>Rotaciono Svetlo - Crveno, 24V DC</t>
  </si>
  <si>
    <t>LTE-1081 Plavo 220V</t>
  </si>
  <si>
    <t>Rotaciono Svetlo - Plavo, 220V AC</t>
  </si>
  <si>
    <t>LTE-1081 Žuto 220V</t>
  </si>
  <si>
    <t>Rotaciono Svetlo - Žuto, 220V AC</t>
  </si>
  <si>
    <t>LTA-505T2 220V</t>
  </si>
  <si>
    <t>Signalni Toranj - C, Z, LED, 220V AC, 3 x 3W</t>
  </si>
  <si>
    <t>LTA-505T2 24V</t>
  </si>
  <si>
    <t>Signalni Toranj - C, Z, LED, 24V DC, 3 x 3W</t>
  </si>
  <si>
    <t>LTA 205T/J-3 24V</t>
  </si>
  <si>
    <t>Signalni Toranj - C, Ž, Z sa Zujalicom, 24V DC, 3 x 5W</t>
  </si>
  <si>
    <t>LTA-505WJ3 220V</t>
  </si>
  <si>
    <t>Signalni Toranj - C, Ž, Z Trepćuće i Zujalica, LED, 220V AC, 3 x 3W</t>
  </si>
  <si>
    <t>LTA-505WJ3 24V</t>
  </si>
  <si>
    <t>Signalni Toranj - C, Ž, Z Trepćuće i Zujalica, LED, 24V DC, 3 x 3W</t>
  </si>
  <si>
    <t>LTA-505W3 220V</t>
  </si>
  <si>
    <t>Signalni Toranj - C, Ž, Z Trepćuće, LED, 220V AC, 3 x 3W</t>
  </si>
  <si>
    <t>LTA-505W3 24V</t>
  </si>
  <si>
    <t>Signalni Toranj - C, Ž, Z Trepćuće, LED, 24V DC, 3 x 3W</t>
  </si>
  <si>
    <t>LTA 204/3 220V</t>
  </si>
  <si>
    <t>Signalni Toranj - C, Ž, Z, 220V AC, ≤3W</t>
  </si>
  <si>
    <t>LTA 205/3 24V</t>
  </si>
  <si>
    <t>Signalni Toranj - C, Ž, Z, 24V DC, ≤3W</t>
  </si>
  <si>
    <t>LTA-505T3 220V</t>
  </si>
  <si>
    <t>Signalni Toranj - C, Ž, Z, LED, 220V AC, 3 x 3W</t>
  </si>
  <si>
    <t>LTA-505T3 24V</t>
  </si>
  <si>
    <t>Signalni Toranj - C, Ž, Z, LED, 24V DC, 3 x 3W</t>
  </si>
  <si>
    <t>AD22-16MS Crvena 220V</t>
  </si>
  <si>
    <t>Sijalica i Zujalica - Crvena, Ø16mm, 220V AC</t>
  </si>
  <si>
    <t>AD22-16MS Crvena 24V</t>
  </si>
  <si>
    <t>Sijalica i Zujalica - Crvena, Ø16mm, 24V AC/DC</t>
  </si>
  <si>
    <t>MP019S/SM11 Crvena 24V</t>
  </si>
  <si>
    <t>Sijalica i Zujalica - Crvena, Ø19mm, 24V AC/DC</t>
  </si>
  <si>
    <t>AD22-DS/MS Crvena 220V</t>
  </si>
  <si>
    <t>Sijalica i Zujalica - Crvena, Ø22mm, 220V AC</t>
  </si>
  <si>
    <t>AD22-DS/MS Crvena 24V</t>
  </si>
  <si>
    <t>Sijalica i Zujalica - Crvena, Ø22mm, 24V AC/DC</t>
  </si>
  <si>
    <t>AD22-DS/MS Zelena 220V</t>
  </si>
  <si>
    <t>Sijalica i Zujalica - Zelena, Ø22mm, 220V AC</t>
  </si>
  <si>
    <t>AD22-DS/MS Zelena 24V</t>
  </si>
  <si>
    <t>Sijalica i Zujalica - Zelena, Ø22mm, 24V AC/DC</t>
  </si>
  <si>
    <t>AD22-DS/MS Žuta 220V</t>
  </si>
  <si>
    <t>Sijalica i Zujalica - Žuta, Ø22mm, 220V AC</t>
  </si>
  <si>
    <t>AD22-DS/MS Žuta 24V</t>
  </si>
  <si>
    <t>Sijalica i Zujalica - Žuta, Ø22mm, 24V AC/DC</t>
  </si>
  <si>
    <t>AD22-22DS/M Crna 220V</t>
  </si>
  <si>
    <t>Zujalica - Crna, Ø22mm, 220V AC</t>
  </si>
  <si>
    <t>AD22-22DS/M Crna 24V</t>
  </si>
  <si>
    <t>Zujalica - Crna, Ø22mm, 24V AC/DC</t>
  </si>
  <si>
    <t>BW3</t>
  </si>
  <si>
    <t>Barkod Čitač - Bluetooth do 20m, 1500 mAh litium baterija</t>
  </si>
  <si>
    <t>TAK-850</t>
  </si>
  <si>
    <t>Duvaljka - 600W, 100~480°C, 220V 50Hz</t>
  </si>
  <si>
    <t>TGK-936A</t>
  </si>
  <si>
    <t>Lemna Stanica - 60W, 200~480°C, 220V 50Hz</t>
  </si>
  <si>
    <t>PLATO 170</t>
  </si>
  <si>
    <t>Sečice - Za sečenje bakarne žice maksimalnog diametra 1mm</t>
  </si>
  <si>
    <t>TS-23</t>
  </si>
  <si>
    <t>Set Alata - Standardni komplet električarskog alata sa kutijom i 23 dela</t>
  </si>
  <si>
    <t>AT-20-I</t>
  </si>
  <si>
    <t>Vrh za Lemilicu - Ø0.8 x 17mm</t>
  </si>
  <si>
    <t>AT-20-B</t>
  </si>
  <si>
    <t>Vrh za Lemilicu - Ø1.2 x 17mm</t>
  </si>
  <si>
    <t>AT-20-1.6D</t>
  </si>
  <si>
    <t>Vrh za Lemilicu - Ø1.6 x 17mm</t>
  </si>
  <si>
    <t>AT-20-2C</t>
  </si>
  <si>
    <t>Vrh za Lemilicu - Ø2.0 x 17mm</t>
  </si>
  <si>
    <t>AT-20-2.4D</t>
  </si>
  <si>
    <t>Vrh za Lemilicu - Ø2.4 x 17mm</t>
  </si>
  <si>
    <t>GB7-10A</t>
  </si>
  <si>
    <t>Automatski Osigurač - 10A, 1 Pol, IP20</t>
  </si>
  <si>
    <t>GB7-16A</t>
  </si>
  <si>
    <t>Automatski Osigurač - 16A, 1 Pol, IP20</t>
  </si>
  <si>
    <t>SRM7 16A</t>
  </si>
  <si>
    <t>Automatski Osigurač - 16A, 3 Pola, IP40</t>
  </si>
  <si>
    <t>GB7-1A</t>
  </si>
  <si>
    <t>Automatski Osigurač - 1A, 1 Pol, IP20</t>
  </si>
  <si>
    <t>GB7-20A</t>
  </si>
  <si>
    <t>Automatski Osigurač - 20A, 1 Pol, IP20</t>
  </si>
  <si>
    <t>SRM7 20A</t>
  </si>
  <si>
    <t>Automatski Osigurač - 20A, 3 Pola, IP40</t>
  </si>
  <si>
    <t>GB7-25A</t>
  </si>
  <si>
    <t>Automatski Osigurač - 25A, 1 Pol, IP20</t>
  </si>
  <si>
    <t>SRM7 25A</t>
  </si>
  <si>
    <t>Automatski Osigurač - 25A, 3 Pola, IP40</t>
  </si>
  <si>
    <t>SRM7 32A</t>
  </si>
  <si>
    <t>Automatski Osigurač - 32A, 1 Pol, IP40</t>
  </si>
  <si>
    <t>Automatski Osigurač - 32A, 3 Pola, IP40</t>
  </si>
  <si>
    <t>GB7-3A</t>
  </si>
  <si>
    <t>Automatski Osigurač - 3A, 1 Pol, IP20</t>
  </si>
  <si>
    <t>SRM7 40A</t>
  </si>
  <si>
    <t>Automatski Osigurač - 40A, 1 Pol, IP40</t>
  </si>
  <si>
    <t>Automatski Osigurač - 40A, 3 Pola, IP40</t>
  </si>
  <si>
    <t>SRM7 4A</t>
  </si>
  <si>
    <t>Automatski Osigurač - 4A, 1 Pol, IP40</t>
  </si>
  <si>
    <t>GB7-6A</t>
  </si>
  <si>
    <t>Automatski Osigurač - 6A, 1 Pol, IP20</t>
  </si>
  <si>
    <t>LRD13 1306</t>
  </si>
  <si>
    <t>Bimetalna Zaštita - 1 – 1.6A, 690VAC</t>
  </si>
  <si>
    <t>LRD13 1307</t>
  </si>
  <si>
    <t>Bimetalna Zaštita - 1.6 – 2.5A, 690VAC</t>
  </si>
  <si>
    <t>LRD13 1321</t>
  </si>
  <si>
    <t>Bimetalna Zaštita - 12 – 18A, 690VAC</t>
  </si>
  <si>
    <t>LRD13 1308</t>
  </si>
  <si>
    <t>Bimetalna Zaštita - 2.5 – 4A, 690VAC</t>
  </si>
  <si>
    <t>LRD13 1310</t>
  </si>
  <si>
    <t>Bimetalna Zaštita - 4 – 6A, 690VAC</t>
  </si>
  <si>
    <t>LRD13 1314</t>
  </si>
  <si>
    <t>Bimetalna Zaštita - 7 – 10A, 690VAC</t>
  </si>
  <si>
    <t>LRD13 1316</t>
  </si>
  <si>
    <t>Bimetalna Zaštita - 9 – 13A, 690VAC</t>
  </si>
  <si>
    <t>CB7-RD62</t>
  </si>
  <si>
    <t>Brojač - Dve Zadate Vrednosti, Brojanje Paketa, 6 + 6 Cifara, Ulaz PNP ili NPN, Izlaz 2 x Rele, 85–265V AC/DC</t>
  </si>
  <si>
    <t>CB7-RD82</t>
  </si>
  <si>
    <t>Brojač - Dve Zadate Vrednosti, Brojanje Paketa, 8 + 8 Cifara, Ulaz PNP ili NPN, Izlaz 2 x Rele, 85–265V AC/DC</t>
  </si>
  <si>
    <t>CB7-RD828</t>
  </si>
  <si>
    <t>Brojač - Dve Zadate Vrednosti, Brojanje Paketa, 8 + 8 Cifara, Ulaz PNP ili NPN, Izlaz 2 x Rele, RS485, 85–265V AC/DC</t>
  </si>
  <si>
    <t>GE3-P62A</t>
  </si>
  <si>
    <t>Brojač - Dve Zadate Vrednosti, Brojanje Paketa, Ulaz PNP ili NPN, Izlaz 2 x Rele i 2 x Tranzistor, 100–240VAC</t>
  </si>
  <si>
    <t>GE7-P62A</t>
  </si>
  <si>
    <t>TC-PRO482 CRA</t>
  </si>
  <si>
    <t>Brojač - Dve Zadate Vrednosti, Brojanje Paketa, Ulaz PNP ili NPN, Izlaz 2 x Rele, RS232/RS485, 100–240VAC</t>
  </si>
  <si>
    <t>TC-PRO482 CRD</t>
  </si>
  <si>
    <t>Brojač - Dve Zadate Vrednosti, Brojanje Paketa, Ulaz PNP ili NPN, Izlaz 2 x Rele, RS232/RS485, 24V AC/DC</t>
  </si>
  <si>
    <t>DHC1J-A2PR</t>
  </si>
  <si>
    <t>Brojač - Dve Zadate Vrednosti, Ulaz PNP ili NPN, Izlaz 2 x Rele, 100–240V AC/DC</t>
  </si>
  <si>
    <t>DHC1J-D2PR</t>
  </si>
  <si>
    <t>Brojač - Dve Zadate Vrednosti, Ulaz PNP ili NPN, Izlaz 2 x Rele, 12–24V AC/DC</t>
  </si>
  <si>
    <t>CI8-RC60</t>
  </si>
  <si>
    <t>Brojač - Dve Zadate Vrednosti, Ulaz PNP ili NPN, Izlaz 2 x Rele, 220V AC/DC</t>
  </si>
  <si>
    <t>CI4-RC60</t>
  </si>
  <si>
    <t>CI7-RC60</t>
  </si>
  <si>
    <t>CI4F-RC60</t>
  </si>
  <si>
    <t>Brojač - Dve Zadate Vrednosti, Ulaz PNP ili NPN, Izlaz 2 x Rele, 24V AC/DC</t>
  </si>
  <si>
    <t>CI7F-RC60</t>
  </si>
  <si>
    <t>JDM15B</t>
  </si>
  <si>
    <t>Brojač - Dve Zadate Vrednosti, Ulaz PNP ili NPN, Izlaz 2 x SSR, 100–240V AC/DC</t>
  </si>
  <si>
    <t>DH48J-11A</t>
  </si>
  <si>
    <t>Brojač - Jedna Zadata Vrednost, Brojanje Unapred i Unazad, Ulaz NPN, Izlaz 1 x Rele, 220VAC</t>
  </si>
  <si>
    <t>COP-01</t>
  </si>
  <si>
    <t>Brojač - Jedna Zadata Vrednost, Ulaz 2 x PNP ili NPN, Izlaz 2 x Rele, 220VAC</t>
  </si>
  <si>
    <t>DHC7J</t>
  </si>
  <si>
    <t>Brojač - Jedna Zadata Vrednost, Ulaz PNP ili NPN, Izlaz 1 x Rele, 100–240V AC/DC</t>
  </si>
  <si>
    <t>DHC5J-A</t>
  </si>
  <si>
    <t>CA8-RB60</t>
  </si>
  <si>
    <t>Brojač - Jedna Zadata Vrednost, Ulaz PNP ili NPN, Izlaz 1 x Rele, 220VAC</t>
  </si>
  <si>
    <t>DH48J 220VAC</t>
  </si>
  <si>
    <t>CA4-RB60</t>
  </si>
  <si>
    <t>CA7-RB60</t>
  </si>
  <si>
    <t>CH48J</t>
  </si>
  <si>
    <t>Brojač - Jedna Zadata Vrednost, Ulaz PNP ili NPN, Izlaz 1 x Rele, 24–240V AC/DC</t>
  </si>
  <si>
    <t>DH48J 24VDC</t>
  </si>
  <si>
    <t>Brojač - Jedna Zadata Vrednost, Ulaz PNP ili NPN, Izlaz 1 x Rele, 24VDC</t>
  </si>
  <si>
    <t>CX2C-PS41A</t>
  </si>
  <si>
    <t>Brojač - Jedna Zadata Vrednost, Ulaz PNP ili NPN, Izlaz 1 x Rele, 5VDC / 10–30VDC</t>
  </si>
  <si>
    <t>CX8C-PS61A</t>
  </si>
  <si>
    <t>CX3-PS61A</t>
  </si>
  <si>
    <t>Brojač - Jedna Zadata Vrednost, Ulaz PNP ili NPN, Izlaz 1 x Rele, 90 – 250VAC</t>
  </si>
  <si>
    <t>CX8-PS61A</t>
  </si>
  <si>
    <t>H7EC-6C-FBV</t>
  </si>
  <si>
    <t>Brojač - Reset, Ulaz 110 – 240V AC/DC, Baterijsko napajanje</t>
  </si>
  <si>
    <t>H7EC-6C-BLVM</t>
  </si>
  <si>
    <t>Brojač - Reset, Ulaz 4 – 30VDC, Baterijsko Napajanje</t>
  </si>
  <si>
    <t>H7EC-6C-BLM</t>
  </si>
  <si>
    <t>Brojač - Reset, Ulaz NO kontakt, Baterijsko napajanje</t>
  </si>
  <si>
    <t>DHC3J-6L</t>
  </si>
  <si>
    <t>Brojač Totalizer - Reset, Baterijsko Napajanje</t>
  </si>
  <si>
    <t>CL7-RD62</t>
  </si>
  <si>
    <t>Merač Dužine i Linijske Brzine - Dve Zadate Vrednosti, Ulaz PNP ili NPN, Izlaz 2 x Rele, 85–265V AC/DC</t>
  </si>
  <si>
    <t>DL-WS210</t>
  </si>
  <si>
    <t>Data Logger - Temperatura i vlaga, Baterijsko i spoljno napajanje 12VDC</t>
  </si>
  <si>
    <t>S500-EX-GSM</t>
  </si>
  <si>
    <t>Data Logger - Temperatura i vlaga, Baterijsko i spoljno napajanje 9VDC</t>
  </si>
  <si>
    <t>HE173</t>
  </si>
  <si>
    <t>Data Logger - Temperatura i vlaga, Baterijsko napajanje</t>
  </si>
  <si>
    <t>HE170</t>
  </si>
  <si>
    <t>Data Logger - Temperatura, Baterijsko napajanje</t>
  </si>
  <si>
    <t>R2100E</t>
  </si>
  <si>
    <t>Data Recorder - Ulazi RTD / TC / Naponski / Strujni / Otporni, 220VAC</t>
  </si>
  <si>
    <t>CZL660A 100kg</t>
  </si>
  <si>
    <r>
      <rPr>
        <sz val="10"/>
        <rFont val="Arial"/>
        <family val="2"/>
      </rPr>
      <t>Davač Sile - 100kg, L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IP65</t>
    </r>
  </si>
  <si>
    <t>CZL628 100kg</t>
  </si>
  <si>
    <r>
      <rPr>
        <sz val="10"/>
        <rFont val="Arial"/>
        <family val="2"/>
      </rPr>
      <t>Davač Sile - 100kg, Poluga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IP65</t>
    </r>
  </si>
  <si>
    <t>CZL619 100kg</t>
  </si>
  <si>
    <t>CZL642 100kg</t>
  </si>
  <si>
    <t>CZL618 100kg</t>
  </si>
  <si>
    <t>CZL623B 100kg</t>
  </si>
  <si>
    <t>CZL302 100kg</t>
  </si>
  <si>
    <r>
      <rPr>
        <sz val="10"/>
        <rFont val="Arial"/>
        <family val="2"/>
      </rPr>
      <t>Davač Sile - 100kg, S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IP66</t>
    </r>
  </si>
  <si>
    <t>CZL301 100kg</t>
  </si>
  <si>
    <t>CZL602A 10kg</t>
  </si>
  <si>
    <r>
      <rPr>
        <sz val="10"/>
        <rFont val="Arial"/>
        <family val="2"/>
      </rPr>
      <t>Davač Sile - 10kg, Poluga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IP65</t>
    </r>
  </si>
  <si>
    <t>CZL618D 10kg</t>
  </si>
  <si>
    <t>CZL623B 10kg</t>
  </si>
  <si>
    <t>CZL602 10kg</t>
  </si>
  <si>
    <t>CZL601 10kg</t>
  </si>
  <si>
    <t>CZL803KA3 10t</t>
  </si>
  <si>
    <r>
      <rPr>
        <sz val="10"/>
        <rFont val="Arial"/>
        <family val="2"/>
      </rPr>
      <t>Davač Sile - 10t, Poluga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IP66</t>
    </r>
  </si>
  <si>
    <t>CZL608 1kg</t>
  </si>
  <si>
    <r>
      <rPr>
        <sz val="10"/>
        <rFont val="Arial"/>
        <family val="2"/>
      </rPr>
      <t>Davač Sile - 1kg, Poluga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IP65</t>
    </r>
  </si>
  <si>
    <t>CZL803D 1t</t>
  </si>
  <si>
    <r>
      <rPr>
        <sz val="10"/>
        <rFont val="Arial"/>
        <family val="2"/>
      </rPr>
      <t>Davač Sile - 1t, Poluga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IP66</t>
    </r>
  </si>
  <si>
    <t>CZL803KB3 1t</t>
  </si>
  <si>
    <r>
      <rPr>
        <sz val="10"/>
        <rFont val="Arial"/>
        <family val="2"/>
      </rPr>
      <t>Davač Sile - 1t, Poluga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IP67/IP68</t>
    </r>
  </si>
  <si>
    <t>CZL312 1t</t>
  </si>
  <si>
    <r>
      <rPr>
        <sz val="10"/>
        <rFont val="Arial"/>
        <family val="2"/>
      </rPr>
      <t>Davač Sile - 1t, S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IP66/IP68</t>
    </r>
  </si>
  <si>
    <t>DYX-301 200kg</t>
  </si>
  <si>
    <r>
      <rPr>
        <sz val="10"/>
        <rFont val="Arial"/>
        <family val="2"/>
      </rPr>
      <t>Davač Sile - 200kg, Poluga Tip, 5</t>
    </r>
    <r>
      <rPr>
        <sz val="10"/>
        <rFont val="DejaVu Sans"/>
        <family val="2"/>
      </rPr>
      <t>～</t>
    </r>
    <r>
      <rPr>
        <sz val="10"/>
        <rFont val="Arial"/>
        <family val="2"/>
      </rPr>
      <t>15VDC, Sa konektorom, IP67/IP68</t>
    </r>
  </si>
  <si>
    <t>CZL642 200kg</t>
  </si>
  <si>
    <r>
      <rPr>
        <sz val="10"/>
        <rFont val="Arial"/>
        <family val="2"/>
      </rPr>
      <t>Davač Sile - 200kg, Poluga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IP65</t>
    </r>
  </si>
  <si>
    <t>CZL302 200kg</t>
  </si>
  <si>
    <r>
      <rPr>
        <sz val="10"/>
        <rFont val="Arial"/>
        <family val="2"/>
      </rPr>
      <t>Davač Sile - 200kg, S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IP66</t>
    </r>
  </si>
  <si>
    <t>CZL301 200kg</t>
  </si>
  <si>
    <t>CZL619 20kg</t>
  </si>
  <si>
    <r>
      <rPr>
        <sz val="10"/>
        <rFont val="Arial"/>
        <family val="2"/>
      </rPr>
      <t>Davač Sile - 20kg, Poluga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IP65</t>
    </r>
  </si>
  <si>
    <t>CZL601 20kg</t>
  </si>
  <si>
    <t>CZL623B 20kg</t>
  </si>
  <si>
    <t>CZL618D 20kg</t>
  </si>
  <si>
    <t>CZL110E 20t</t>
  </si>
  <si>
    <r>
      <rPr>
        <sz val="10"/>
        <rFont val="Arial"/>
        <family val="2"/>
      </rPr>
      <t>Davač Sile - 20t, Stub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IP66</t>
    </r>
  </si>
  <si>
    <t>CZL608 2kg</t>
  </si>
  <si>
    <r>
      <rPr>
        <sz val="10"/>
        <rFont val="Arial"/>
        <family val="2"/>
      </rPr>
      <t>Davač Sile - 2kg, Poluga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IP65</t>
    </r>
  </si>
  <si>
    <t>CZL803D 2t</t>
  </si>
  <si>
    <r>
      <rPr>
        <sz val="10"/>
        <rFont val="Arial"/>
        <family val="2"/>
      </rPr>
      <t>Davač Sile - 2t, Poluga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IP66</t>
    </r>
  </si>
  <si>
    <t>CZL803KB3 2t</t>
  </si>
  <si>
    <r>
      <rPr>
        <sz val="10"/>
        <rFont val="Arial"/>
        <family val="2"/>
      </rPr>
      <t>Davač Sile - 2t, Poluga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IP67/IP68</t>
    </r>
  </si>
  <si>
    <t>CZL312 2t</t>
  </si>
  <si>
    <r>
      <rPr>
        <sz val="10"/>
        <rFont val="Arial"/>
        <family val="2"/>
      </rPr>
      <t>Davač Sile - 2t, S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IP66/IP68</t>
    </r>
  </si>
  <si>
    <t>CZL608I 300g</t>
  </si>
  <si>
    <r>
      <rPr>
        <sz val="10"/>
        <rFont val="Arial"/>
        <family val="2"/>
      </rPr>
      <t>Davač Sile - 300g, Poluga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IP65</t>
    </r>
  </si>
  <si>
    <t>CZL642 300kg</t>
  </si>
  <si>
    <r>
      <rPr>
        <sz val="10"/>
        <rFont val="Arial"/>
        <family val="2"/>
      </rPr>
      <t>Davač Sile - 300kg, Poluga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IP65</t>
    </r>
  </si>
  <si>
    <t>CZL619 30kg</t>
  </si>
  <si>
    <r>
      <rPr>
        <sz val="10"/>
        <rFont val="Arial"/>
        <family val="2"/>
      </rPr>
      <t>Davač Sile - 30kg, Poluga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IP65</t>
    </r>
  </si>
  <si>
    <t>CZL618D 30kg</t>
  </si>
  <si>
    <t>CZL425-H 30t</t>
  </si>
  <si>
    <r>
      <rPr>
        <sz val="10"/>
        <rFont val="Arial"/>
        <family val="2"/>
      </rPr>
      <t>Davač Sile - 30t, Stub Tip, 5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IP66</t>
    </r>
  </si>
  <si>
    <t>CZL602A 3kg</t>
  </si>
  <si>
    <r>
      <rPr>
        <sz val="10"/>
        <rFont val="Arial"/>
        <family val="2"/>
      </rPr>
      <t>Davač Sile - 3kg, Poluga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IP65</t>
    </r>
  </si>
  <si>
    <t>CZL608 3kg</t>
  </si>
  <si>
    <t>CZL605X 3kg</t>
  </si>
  <si>
    <t>CZL602 3kg</t>
  </si>
  <si>
    <t>CZL601 3kg</t>
  </si>
  <si>
    <t>CZL111 3t</t>
  </si>
  <si>
    <r>
      <rPr>
        <sz val="10"/>
        <rFont val="Arial"/>
        <family val="2"/>
      </rPr>
      <t>Davač Sile - 3t, Most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IP66/IP68</t>
    </r>
  </si>
  <si>
    <t>CZL803KB3 3t</t>
  </si>
  <si>
    <r>
      <rPr>
        <sz val="10"/>
        <rFont val="Arial"/>
        <family val="2"/>
      </rPr>
      <t>Davač Sile - 3t, Poluga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IP67/IP68</t>
    </r>
  </si>
  <si>
    <t>CZL619 40kg</t>
  </si>
  <si>
    <r>
      <rPr>
        <sz val="10"/>
        <rFont val="Arial"/>
        <family val="2"/>
      </rPr>
      <t>Davač Sile - 40kg, Poluga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IP65</t>
    </r>
  </si>
  <si>
    <t>CZL110E 40t</t>
  </si>
  <si>
    <r>
      <rPr>
        <sz val="10"/>
        <rFont val="Arial"/>
        <family val="2"/>
      </rPr>
      <t>Davač Sile - 40t, Stub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IP66</t>
    </r>
  </si>
  <si>
    <t>CZL608 500g</t>
  </si>
  <si>
    <r>
      <rPr>
        <sz val="10"/>
        <rFont val="Arial"/>
        <family val="2"/>
      </rPr>
      <t>Davač Sile - 500g, Poluga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IP65</t>
    </r>
  </si>
  <si>
    <t>CZL642 500kg</t>
  </si>
  <si>
    <r>
      <rPr>
        <sz val="10"/>
        <rFont val="Arial"/>
        <family val="2"/>
      </rPr>
      <t>Davač Sile - 500kg, Poluga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IP65</t>
    </r>
  </si>
  <si>
    <t>CZL628 500kg</t>
  </si>
  <si>
    <t>CZL803D 500kg</t>
  </si>
  <si>
    <r>
      <rPr>
        <sz val="10"/>
        <rFont val="Arial"/>
        <family val="2"/>
      </rPr>
      <t>Davač Sile - 500kg, Poluga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IP66</t>
    </r>
  </si>
  <si>
    <t>CZL803KB3 500kg</t>
  </si>
  <si>
    <r>
      <rPr>
        <sz val="10"/>
        <rFont val="Arial"/>
        <family val="2"/>
      </rPr>
      <t>Davač Sile - 500kg, Poluga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IP67/IP68</t>
    </r>
  </si>
  <si>
    <t>CZL301 500kg</t>
  </si>
  <si>
    <r>
      <rPr>
        <sz val="10"/>
        <rFont val="Arial"/>
        <family val="2"/>
      </rPr>
      <t>Davač Sile - 500kg, S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IP66</t>
    </r>
  </si>
  <si>
    <t>CZL660A 50kg</t>
  </si>
  <si>
    <r>
      <rPr>
        <sz val="10"/>
        <rFont val="Arial"/>
        <family val="2"/>
      </rPr>
      <t>Davač Sile - 50kg, L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IP65</t>
    </r>
  </si>
  <si>
    <t>CZL929B 50kg</t>
  </si>
  <si>
    <r>
      <rPr>
        <sz val="10"/>
        <rFont val="Arial"/>
        <family val="2"/>
      </rPr>
      <t>Davač Sile - 50kg, Most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IP66</t>
    </r>
  </si>
  <si>
    <t>CZL618D 50kg</t>
  </si>
  <si>
    <r>
      <rPr>
        <sz val="10"/>
        <rFont val="Arial"/>
        <family val="2"/>
      </rPr>
      <t>Davač Sile - 50kg, Poluga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IP65</t>
    </r>
  </si>
  <si>
    <t>CZL619 50kg</t>
  </si>
  <si>
    <t>CZL650 50kg</t>
  </si>
  <si>
    <t>CZL623B 50kg</t>
  </si>
  <si>
    <t>CZL618D 5kg</t>
  </si>
  <si>
    <r>
      <rPr>
        <sz val="10"/>
        <rFont val="Arial"/>
        <family val="2"/>
      </rPr>
      <t>Davač Sile - 5kg, Poluga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IP65</t>
    </r>
  </si>
  <si>
    <t>CZL608 5kg</t>
  </si>
  <si>
    <t>CZL602 5kg</t>
  </si>
  <si>
    <t>CZL601 5kg</t>
  </si>
  <si>
    <t>CZL602A 5kg</t>
  </si>
  <si>
    <t>CZL111 5t</t>
  </si>
  <si>
    <r>
      <rPr>
        <sz val="10"/>
        <rFont val="Arial"/>
        <family val="2"/>
      </rPr>
      <t>Davač Sile - 5t, Most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IP66/IP68</t>
    </r>
  </si>
  <si>
    <t>CZL803KB3 5t</t>
  </si>
  <si>
    <r>
      <rPr>
        <sz val="10"/>
        <rFont val="Arial"/>
        <family val="2"/>
      </rPr>
      <t>Davač Sile - 5t, Poluga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IP67/IP68</t>
    </r>
  </si>
  <si>
    <t>CZL312 5t</t>
  </si>
  <si>
    <r>
      <rPr>
        <sz val="10"/>
        <rFont val="Arial"/>
        <family val="2"/>
      </rPr>
      <t>Davač Sile - 5t, S Tip, 9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IP66/IP68</t>
    </r>
  </si>
  <si>
    <t>Stopa M12</t>
  </si>
  <si>
    <t>Stopa za Davač Sile - M12x1.75, 0.5t – 2t</t>
  </si>
  <si>
    <t>Stopa M18</t>
  </si>
  <si>
    <t>Stopa za Davač Sile - M18x1.5, 2.5t – 5t</t>
  </si>
  <si>
    <t>Stopa M24</t>
  </si>
  <si>
    <t>Stopa za Davač Sile - M24x2, 5t – 10t</t>
  </si>
  <si>
    <t>SA12T/K</t>
  </si>
  <si>
    <t>Zglobni Ležaj sa Navojem - M12x1.75, 17kN</t>
  </si>
  <si>
    <t>SA18T/K</t>
  </si>
  <si>
    <t>Zglobni Ležaj sa Navojem - M18x1.5, 42.5kN</t>
  </si>
  <si>
    <t>SA20T/K</t>
  </si>
  <si>
    <t>Zglobni Ležaj sa Navojem - M20x1.5, 42.5kN</t>
  </si>
  <si>
    <t>SA25T/K</t>
  </si>
  <si>
    <t>Zglobni Ležaj sa Navojem - M24x2, 68kN</t>
  </si>
  <si>
    <t>SDS6-2V</t>
  </si>
  <si>
    <t>Digitalni Pokazivač Pozicije - Dvoosni Univerzalni DPP</t>
  </si>
  <si>
    <t>SDS3-1</t>
  </si>
  <si>
    <t>Digitalni Pokazivač Pozicije - Jednoosni Univerzalni DPP</t>
  </si>
  <si>
    <t>SDS6-3V</t>
  </si>
  <si>
    <t>Digitalni Pokazivač Pozicije - Troosni Univerzalni DPP</t>
  </si>
  <si>
    <t>DPP Nosač Alata</t>
  </si>
  <si>
    <t>Nosač Alata - DPP dodatak za alat</t>
  </si>
  <si>
    <t>KA-300 Zaštitna Guma 1m</t>
  </si>
  <si>
    <t>Zaštitna Guma - Za KA-300 merne letve, prodaje se na metar</t>
  </si>
  <si>
    <t>KA-600 Zaštitna Guma 1m</t>
  </si>
  <si>
    <t>Zaštitna Guma - Za KA-600 merne letve, prodaje se na metar</t>
  </si>
  <si>
    <t>DCT-19x42TL 12VDC</t>
  </si>
  <si>
    <t>Elektromagnet - 100g, Push, Hod 10mm, 12VDC</t>
  </si>
  <si>
    <t>DCT-19x42TL 24VDC</t>
  </si>
  <si>
    <t>Elektromagnet - 100g, Push, Hod 10mm, 24VDC</t>
  </si>
  <si>
    <t>DCT1000 12VDC</t>
  </si>
  <si>
    <t>Elektromagnet - 15.0kg, Push, Hod 30mm, 12VDC</t>
  </si>
  <si>
    <t>DCT1000 220VAC</t>
  </si>
  <si>
    <t>Elektromagnet - 15.0kg, Push, Hod 30mm, 220VAC</t>
  </si>
  <si>
    <t>DCT150 12VDC</t>
  </si>
  <si>
    <t>Elektromagnet - 2.0kg, Push, Hod 30mm, 12VDC</t>
  </si>
  <si>
    <t>DCT150 220VAC</t>
  </si>
  <si>
    <t>Elektromagnet - 2.0kg, Push, Hod 30mm, 220VAC</t>
  </si>
  <si>
    <t>HCNE1-1040</t>
  </si>
  <si>
    <t>Elektromagnet - 2.5kg (25N), Push, Hod 10mm, 12VDC</t>
  </si>
  <si>
    <t>SA-2602</t>
  </si>
  <si>
    <t>Elektromagnet - 2kg (19,6N), Pull, Hod 15mm, 220VAC</t>
  </si>
  <si>
    <t>AO1442L-24A18</t>
  </si>
  <si>
    <t>Elektromagnet - 2kg (19,6N), Pull, Hod 15mm, 24VDC</t>
  </si>
  <si>
    <t>AO2551S-12A10</t>
  </si>
  <si>
    <t>Elektromagnet - 3.4kg (33,3N), Pull, Hod 21mm, 12VDC</t>
  </si>
  <si>
    <t>AO2551L-24A13.8</t>
  </si>
  <si>
    <t>Elektromagnet - 3.4kg (33,3N), Pull, Hod 50mm, 24VDC</t>
  </si>
  <si>
    <t>AO45119S-27B09</t>
  </si>
  <si>
    <t>Elektromagnet - 35kg (343N), Pull, Hod 115mm, 27VDC</t>
  </si>
  <si>
    <t>MQB1-40N</t>
  </si>
  <si>
    <t>Elektromagnet - 4kg (40N), Pull, Hod 25mm, 220VAC</t>
  </si>
  <si>
    <t>SA-3702</t>
  </si>
  <si>
    <t>Elektromagnet - 5kg (49N), Pull, Hod 20mm, 220VAC</t>
  </si>
  <si>
    <t>AU1564L24A12.5</t>
  </si>
  <si>
    <t>Elektromagnet - 6.5kg (63.7N), Pull, Hod 12mm, 24VDC</t>
  </si>
  <si>
    <t>HCNE1-1564</t>
  </si>
  <si>
    <t>Elektromagnet - 8.9kg (87N), Push, Hod 10mm, 12VDC</t>
  </si>
  <si>
    <t>SKS1.5KI</t>
  </si>
  <si>
    <t>EMI Filter - 1.5kW, 5A, Trofazni</t>
  </si>
  <si>
    <t>SKS15KI</t>
  </si>
  <si>
    <t>EMI Filter - 15kW, 30A, Trofazni</t>
  </si>
  <si>
    <t>SKS22KI</t>
  </si>
  <si>
    <t>EMI Filter - 22kW, 45A, Trofazni</t>
  </si>
  <si>
    <t>SKS3.7KI</t>
  </si>
  <si>
    <t>EMI Filter - 3.7kW, 8A, Trofazni</t>
  </si>
  <si>
    <t>SKS37KI</t>
  </si>
  <si>
    <t>EMI Filter - 37kW, 80A, Trofazni</t>
  </si>
  <si>
    <t>SKS7.5KI</t>
  </si>
  <si>
    <t>EMI Filter - 7.5kW, 16A, Trofazni</t>
  </si>
  <si>
    <t>LK-80-6</t>
  </si>
  <si>
    <t>Merni Točak - 1 Impuls na 0.01 / 0.1 / 1m, Izlaz A, B / Push-Pull, 10 – 30VDC</t>
  </si>
  <si>
    <t>DHC-1M</t>
  </si>
  <si>
    <t>Merni Točak - 1 Impuls na 1cm, Izlaz A, B / Push-Pull, 10 – 30VDC</t>
  </si>
  <si>
    <t>LK-80-4</t>
  </si>
  <si>
    <t>Merni Točak - 1 Impuls na 1mm, Izlaz A, B / Push-Pull, 10 – 30VDC</t>
  </si>
  <si>
    <t>PSC-MC-ABZ-T-24</t>
  </si>
  <si>
    <t>Merni Točak - 1 Impuls na 1mm, Izlaz A, B, Z / Push-Pull, 5 – 24VDC</t>
  </si>
  <si>
    <t>ISC3806-003E-10BZ3-5-24F</t>
  </si>
  <si>
    <t>Rotacioni Enkoder - Broj Impulsa 10 ppr, Izlaz A, B, Z / Push-Pull, 5 – 24VDC</t>
  </si>
  <si>
    <t>HY38A6-P4AR-10</t>
  </si>
  <si>
    <t>Rotacioni Enkoder - Broj Impulsa 10 ppr, Izlaz A, B, Z / Push-Pull, 5 – 26VDC</t>
  </si>
  <si>
    <t>ISN5806-001C-100BZ3-5-24F</t>
  </si>
  <si>
    <t>Rotacioni Enkoder - Broj Impulsa 100 ppr, Izlaz A, B, Z / Push-Pull, 5 – 24VDC</t>
  </si>
  <si>
    <t>ISC5810-001C-100BZ1-5-24F</t>
  </si>
  <si>
    <t>ISC3806-003E-100BZ3-5-24F</t>
  </si>
  <si>
    <t>HY38A6-P4AR-100</t>
  </si>
  <si>
    <t>Rotacioni Enkoder - Broj Impulsa 100 ppr, Izlaz A, B, Z / Push-Pull, 5 – 26VDC</t>
  </si>
  <si>
    <t>HY58A10-P4AR-100C</t>
  </si>
  <si>
    <t>GTS06-0P-RA1000B-2M</t>
  </si>
  <si>
    <t>Rotacioni Enkoder - Broj Impulsa 1000 ppr, Izlaz A, B / Push-Pull, 5 – 24VDC</t>
  </si>
  <si>
    <t>DHC40M6-1000</t>
  </si>
  <si>
    <t>Rotacioni Enkoder - Broj Impulsa 1000 ppr, Izlaz A, B / Push-Pull, 8 – 24VDC</t>
  </si>
  <si>
    <t>ISA5208-001G1000BZ1-12-24F</t>
  </si>
  <si>
    <t>Rotacioni Enkoder - Broj Impulsa 1000 ppr, Izlaz A, B, Z / Push-Pull, 12 – 24VDC</t>
  </si>
  <si>
    <t>IHA8030-302J-1000BZ1-5-12F</t>
  </si>
  <si>
    <t>Rotacioni Enkoder - Broj Impulsa 1000 ppr, Izlaz A, B, Z / Push-Pull, 5 – 12VDC</t>
  </si>
  <si>
    <t>ISC3806-003E-1000BZ3-5-24F</t>
  </si>
  <si>
    <t>Rotacioni Enkoder - Broj Impulsa 1000 ppr, Izlaz A, B, Z / Push-Pull, 5 – 24VDC</t>
  </si>
  <si>
    <t>ISN5806-001C-1000BZ3-5-24F</t>
  </si>
  <si>
    <t>ISC5810-001C-1000BZ1-5-24F</t>
  </si>
  <si>
    <t>HY38A6-P4AR-1000</t>
  </si>
  <si>
    <t>Rotacioni Enkoder - Broj Impulsa 1000 ppr, Izlaz A, B, Z / Push-Pull, 5 – 26VDC</t>
  </si>
  <si>
    <t>ISC5810-001C-1024BZ1-5-24F</t>
  </si>
  <si>
    <t>Rotacioni Enkoder - Broj Impulsa 1024 ppr, Izlaz A, B, Z / Push-Pull, 5 – 24VDC</t>
  </si>
  <si>
    <t>ISC3806-003E-1500BZ3-5-24F</t>
  </si>
  <si>
    <t>Rotacioni Enkoder - Broj Impulsa 1500 ppr, Izlaz A, B, Z / Push-Pull, 5 – 24VDC</t>
  </si>
  <si>
    <t>ISN5806-001C-1500BZ3-5-24F</t>
  </si>
  <si>
    <t>ISC5810-001C-1500BZ1-5-24F</t>
  </si>
  <si>
    <t>DHC40M6-200</t>
  </si>
  <si>
    <t>Rotacioni Enkoder - Broj Impulsa 200 ppr, Izlaz A, B / Push-Pull, 8 – 24VDC</t>
  </si>
  <si>
    <t>ISC5810-001C-200BZ1-5-24F</t>
  </si>
  <si>
    <t>Rotacioni Enkoder - Broj Impulsa 200 ppr, Izlaz A, B, Z / Push-Pull, 5 – 24VDC</t>
  </si>
  <si>
    <t>ISC3806-003E-200BZ3-5-24F</t>
  </si>
  <si>
    <t>ISN5806-001C-200BZ3-5-24F</t>
  </si>
  <si>
    <t>HY38A6-P4AR-200</t>
  </si>
  <si>
    <t>Rotacioni Enkoder - Broj Impulsa 200 ppr, Izlaz A, B, Z / Push-Pull, 5 – 26VDC</t>
  </si>
  <si>
    <t>DHC40M6-2000</t>
  </si>
  <si>
    <t>Rotacioni Enkoder - Broj Impulsa 2000 ppr, Izlaz A, B / Push-Pull, 8 – 24VDC</t>
  </si>
  <si>
    <t>ISA5208-001G2000BZ1-12-24F</t>
  </si>
  <si>
    <t>Rotacioni Enkoder - Broj Impulsa 2000 ppr, Izlaz A, B, Z / Push-Pull, 12 – 24VDC</t>
  </si>
  <si>
    <t>ISN5806-001C-2000BZ3-5-24F</t>
  </si>
  <si>
    <t>Rotacioni Enkoder - Broj Impulsa 2000 ppr, Izlaz A, B, Z / Push-Pull, 5 – 24VDC</t>
  </si>
  <si>
    <t>ISC5810-001C-2000BZ1-5-24F</t>
  </si>
  <si>
    <t>HY58A10-P4AR-2000W</t>
  </si>
  <si>
    <t>Rotacioni Enkoder - Broj Impulsa 2000 ppr, Izlaz A, B, Z / Push-Pull, 5 – 26VDC</t>
  </si>
  <si>
    <t>HY38A6-P4AR-2000</t>
  </si>
  <si>
    <t>ISC5810-001C-250BZ1-5-24F</t>
  </si>
  <si>
    <t>Rotacioni Enkoder - Broj Impulsa 250 ppr, Izlaz A, B, Z / Push-Pull, 5 – 24VDC</t>
  </si>
  <si>
    <t>ISN5806-001C-250BZ3-5-24F</t>
  </si>
  <si>
    <t>ISC3806-003E-250BZ3-5-24F</t>
  </si>
  <si>
    <t>HY38A6-P4AR-250</t>
  </si>
  <si>
    <t>Rotacioni Enkoder - Broj Impulsa 250 ppr, Izlaz A, B, Z / Push-Pull, 5 – 26VDC</t>
  </si>
  <si>
    <t>ISC5810-001C-2500BZ1-5-24F</t>
  </si>
  <si>
    <t>Rotacioni Enkoder - Broj Impulsa 2500 ppr, Izlaz A, B, Z / Push-Pull, 5 – 24VDC</t>
  </si>
  <si>
    <t>DHC40M6-360</t>
  </si>
  <si>
    <t>Rotacioni Enkoder - Broj Impulsa 360 ppr, Izlaz A, B / Push-Pull, 8 – 24VDC</t>
  </si>
  <si>
    <t>ISN5806-001C-360BZ3-5-24F</t>
  </si>
  <si>
    <t>Rotacioni Enkoder - Broj Impulsa 360 ppr, Izlaz A, B, Z / Push-Pull, 5 – 24VDC</t>
  </si>
  <si>
    <t>ISC3806-003E-360BZ3-5-24F</t>
  </si>
  <si>
    <t>ISC5810-001C-360BZ1-5-24F</t>
  </si>
  <si>
    <t>HY38A6-P4AR-360</t>
  </si>
  <si>
    <t>Rotacioni Enkoder - Broj Impulsa 360 ppr, Izlaz A, B, Z / Push-Pull, 5 – 26VDC</t>
  </si>
  <si>
    <t>HY58A10-P4AR-360C</t>
  </si>
  <si>
    <t>ISC5810-001C-3600BZ1-5-24F</t>
  </si>
  <si>
    <t>Rotacioni Enkoder - Broj Impulsa 3600 ppr, Izlaz A, B, Z / Push-Pull, 5 – 24VDC</t>
  </si>
  <si>
    <t>HY58A10-P4AR-3600W</t>
  </si>
  <si>
    <t>Rotacioni Enkoder - Broj Impulsa 3600 ppr, Izlaz A, B, Z / Push-Pull, 5 – 26VDC</t>
  </si>
  <si>
    <t>HY38A8-P4AR-3600</t>
  </si>
  <si>
    <t>HY38A6-P4AR-3600</t>
  </si>
  <si>
    <t>ISC3806-003E-50BZ3-5-24F</t>
  </si>
  <si>
    <t>Rotacioni Enkoder - Broj Impulsa 50 ppr, Izlaz A, B, Z / Push-Pull, 5 – 24VDC</t>
  </si>
  <si>
    <t>HY38A6-P4AR-50</t>
  </si>
  <si>
    <t>Rotacioni Enkoder - Broj Impulsa 50 ppr, Izlaz A, B, Z / Push-Pull, 5 – 26VDC</t>
  </si>
  <si>
    <t>DHC40M6-500</t>
  </si>
  <si>
    <t>Rotacioni Enkoder - Broj Impulsa 500 ppr, Izlaz A, B / Push-Pull, 8 – 24VDC</t>
  </si>
  <si>
    <t>ISC6005-H01C-500BZ3-12-24F</t>
  </si>
  <si>
    <t>Rotacioni Enkoder - Broj Impulsa 500 ppr, Izlaz A, B, Z / Push-Pull, 12 – 24VDC</t>
  </si>
  <si>
    <t>ISC5810-001C-500BZ1-5-24F</t>
  </si>
  <si>
    <t>Rotacioni Enkoder - Broj Impulsa 500 ppr, Izlaz A, B, Z / Push-Pull, 5 – 24VDC</t>
  </si>
  <si>
    <t>ISN5806-001C-500BZ3-5-24F</t>
  </si>
  <si>
    <t>ISC3806-003E-500BZ3-5-24F</t>
  </si>
  <si>
    <t>HY38A6-P4AR-500</t>
  </si>
  <si>
    <t>Rotacioni Enkoder - Broj Impulsa 500 ppr, Izlaz A, B, Z / Push-Pull, 5 – 26VDC</t>
  </si>
  <si>
    <t>HY58A10-P4AR-500W</t>
  </si>
  <si>
    <t>HY58A10-P4AR-500C</t>
  </si>
  <si>
    <t>ISC5810-001C-512BZ1-5-24F</t>
  </si>
  <si>
    <t>Rotacioni Enkoder - Broj Impulsa 512 ppr, Izlaz A, B, Z / Push-Pull, 5 – 24VDC</t>
  </si>
  <si>
    <t>ISMM2080-001-100B-5L</t>
  </si>
  <si>
    <t>Ručni Enkoder - Broj Impulsa 100 ppr, Izlaz A, *A, B, *B, Z / Linijski Drajver, 5VDC</t>
  </si>
  <si>
    <t>DHC2X-T</t>
  </si>
  <si>
    <t>Fazna Zaštita - 3 faze, Izlazni Rele AC 380V 5A</t>
  </si>
  <si>
    <t>RSTB</t>
  </si>
  <si>
    <t>Fazna Zaštita - 3 faze, Izlazni Rele NO i NC 10A 250VAC</t>
  </si>
  <si>
    <t>AS-CP1</t>
  </si>
  <si>
    <t>Trofazni Naponski Komparator - 3 faze, Izlazni Rele NO/NC 220VAC 5A</t>
  </si>
  <si>
    <t>B9-20A</t>
  </si>
  <si>
    <t>Grebenasti Prekidač - 1-0-2, 20A, 440V, 3 pola</t>
  </si>
  <si>
    <t>D11-100A</t>
  </si>
  <si>
    <t>Grebenasti Prekidač - 1-0, 100A, 440V, 3 pola</t>
  </si>
  <si>
    <t>SISO-32</t>
  </si>
  <si>
    <t>Grebenasti Prekidač - 1-0, 16A, 415V, 4 pola, IP66</t>
  </si>
  <si>
    <t>H13-20A</t>
  </si>
  <si>
    <t>Grebenasti Prekidač - 1-0, 20A, 440V, 4 pola</t>
  </si>
  <si>
    <t>HZ12-25A</t>
  </si>
  <si>
    <t>Grebenasti Prekidač - 1-0, 25A, 440V, 4 pola</t>
  </si>
  <si>
    <t>HZ12-40A</t>
  </si>
  <si>
    <t>Grebenasti Prekidač - 1-0, 40A, 440V, 4 pola</t>
  </si>
  <si>
    <t>D11-63A</t>
  </si>
  <si>
    <t>Grebenasti Prekidač - 1-0, 63A, 440V, 3 pola</t>
  </si>
  <si>
    <t>D11-80A</t>
  </si>
  <si>
    <t>Grebenasti Prekidač - 1-0, 80A, 440V, 3 pola</t>
  </si>
  <si>
    <t>HB860H + 86HB250-156BJ</t>
  </si>
  <si>
    <t>Hibridni Step Servo Set - 12Nm, 20-70VAC ili 30-100VDC</t>
  </si>
  <si>
    <t>HSS86 + 86HSE12N-BC38</t>
  </si>
  <si>
    <t>Hibridni Step Servo Set - 12Nm, 20-80VAC ili 30-110VDC</t>
  </si>
  <si>
    <t>HB657H + 57HB250-80BJ</t>
  </si>
  <si>
    <t>Hibridni Step Servo Set - 2.2Nm, 24-60VDC</t>
  </si>
  <si>
    <t>3HSS2208H + 110J12190EC-1000</t>
  </si>
  <si>
    <t>Hibridni Step Servo Set - 20Nm, 110-220VAC</t>
  </si>
  <si>
    <t>HB860H + 60HB250-112B</t>
  </si>
  <si>
    <t>Hibridni Step Servo Set - 4Nm, 20-70VAC ili 30-100VDC</t>
  </si>
  <si>
    <t>HB860H + 86HB250-118BJ</t>
  </si>
  <si>
    <t>Hibridni Step Servo Set - 8.5Nm, 20-70VAC ili 30-100VDC</t>
  </si>
  <si>
    <t>MFR012</t>
  </si>
  <si>
    <t>Mehanički Hidrostat - NO+NC 5A 250VAC</t>
  </si>
  <si>
    <t>A-30</t>
  </si>
  <si>
    <t>Hladnjak - Za monofazni SSR i struju ≤15A na 25°C, 50x80x50mm, Aluminijum</t>
  </si>
  <si>
    <t>C-55</t>
  </si>
  <si>
    <t>Hladnjak - Za monofazni SSR i struju ≤30A na 25°C, 80x100x55mm, Aluminijum</t>
  </si>
  <si>
    <t>B-40</t>
  </si>
  <si>
    <t>Hladnjak - Za monofazni SSR i struju ≤40A na 25°C, 51x124x75mm, Aluminijum</t>
  </si>
  <si>
    <t>C-50</t>
  </si>
  <si>
    <t>Hladnjak - Za monofazni SSR i struju ≤40A na 25°C, 80x70x50mm, Aluminijum</t>
  </si>
  <si>
    <t>C-80</t>
  </si>
  <si>
    <t>Hladnjak - Za monofazni SSR i struju ≤60A na 25°C, 80x70x80mm, Aluminijum</t>
  </si>
  <si>
    <t>D-90</t>
  </si>
  <si>
    <t>Hladnjak - Za trofazni SSR i struju ≤25A na 25°C, 35x90x150mm, Aluminijum</t>
  </si>
  <si>
    <t>E-105</t>
  </si>
  <si>
    <t>Hladnjak - Za trofazni SSR i struju ≤40A na 25°C, 80x100x105mm, Aluminijum</t>
  </si>
  <si>
    <t>E-150</t>
  </si>
  <si>
    <t>Hladnjak - Za trofazni SSR i struju ≤40A na 25°C, 80x100x150mm, Aluminijum</t>
  </si>
  <si>
    <t>T727 35A</t>
  </si>
  <si>
    <t>Gereta za Grejače - 35A, 220 – 600V, 2 Kontakta, do 300°C</t>
  </si>
  <si>
    <t>TP28-F-12E</t>
  </si>
  <si>
    <t>Industrijski Konektor - 10A, 12 Kontakta, Na Šasiju</t>
  </si>
  <si>
    <t>TP28-F-16E</t>
  </si>
  <si>
    <t>Industrijski Konektor - 10A, 16 Kontakta, Na Šasiju</t>
  </si>
  <si>
    <t>DF25-2F</t>
  </si>
  <si>
    <t>Industrijski Konektor - 10A, 2 Kontakta, Na Šasiju</t>
  </si>
  <si>
    <t>DF25-3F</t>
  </si>
  <si>
    <t>Industrijski Konektor - 10A, 3 Kontakta, Na Šasiju</t>
  </si>
  <si>
    <t>PX-16 3P</t>
  </si>
  <si>
    <t>Industrijski Konektor - 10A, 3 Kontakta, Na Šasiju, IP68</t>
  </si>
  <si>
    <t>DF25-4F</t>
  </si>
  <si>
    <t>Industrijski Konektor - 10A, 4 Kontakta, Na Šasiju</t>
  </si>
  <si>
    <t>DF25-5F</t>
  </si>
  <si>
    <t>Industrijski Konektor - 10A, 5 Kontakta, Na Šasiju</t>
  </si>
  <si>
    <t>TP20-F-5E</t>
  </si>
  <si>
    <t>DF25-6F</t>
  </si>
  <si>
    <t>Industrijski Konektor - 10A, 6 Kontakta, Na Šasiju</t>
  </si>
  <si>
    <t>TP20-F-7E</t>
  </si>
  <si>
    <t>Industrijski Konektor - 10A, 7 Kontakta, Na Šasiju</t>
  </si>
  <si>
    <t>PX-20 7P</t>
  </si>
  <si>
    <t>Industrijski Konektor - 10A, 7 Kontakta, Na Šasiju, IP68</t>
  </si>
  <si>
    <t>TP28-F-10E</t>
  </si>
  <si>
    <t>Industrijski Konektor - 15A, 10 Kontakta, Na Šasiju</t>
  </si>
  <si>
    <t>TP28-F-8E</t>
  </si>
  <si>
    <t>Industrijski Konektor - 15A, 8 Kontakta, Na Šasiju</t>
  </si>
  <si>
    <t>JCP-HDC-HE010-3</t>
  </si>
  <si>
    <t>Industrijski Konektor - 16A, 10 Kontakta, Kabl na Kabl</t>
  </si>
  <si>
    <t>JCP-HDC-HE010-1</t>
  </si>
  <si>
    <t>Industrijski Konektor - 16A, 10 Kontakta, Na Šasiju</t>
  </si>
  <si>
    <t>JCP-HDC-HE016-3</t>
  </si>
  <si>
    <t>Industrijski Konektor - 16A, 16 Kontakta, Kabl na Kabl</t>
  </si>
  <si>
    <t>JCP-HDC-HE016-1</t>
  </si>
  <si>
    <t>Industrijski Konektor - 16A, 16 Kontakta, Na Šasiju</t>
  </si>
  <si>
    <t>JCP-HDC-HE024-3</t>
  </si>
  <si>
    <t>Industrijski Konektor - 16A, 24 Kontakta, Kabl na Kabl</t>
  </si>
  <si>
    <t>JCP-HDC-HE024-1</t>
  </si>
  <si>
    <t>Industrijski Konektor - 16A, 24 Kontakta, Na Šasiju</t>
  </si>
  <si>
    <t>JCP-HDC-HE032-3</t>
  </si>
  <si>
    <t>Industrijski Konektor - 16A, 32 Kontakta, Kabl na Kabl</t>
  </si>
  <si>
    <t>JCP-HDC-HE032-1</t>
  </si>
  <si>
    <t>Industrijski Konektor - 16A, 32 Kontakta, Na Šasiju</t>
  </si>
  <si>
    <t>JCP-HDC-HE004+E</t>
  </si>
  <si>
    <t>Industrijski Konektor - 16A, 4 Kontakta, Na Šasiju</t>
  </si>
  <si>
    <t>JCP-HDC-HE048-1</t>
  </si>
  <si>
    <t>Industrijski Konektor - 16A, 48 Kontakta, Na Šasiju</t>
  </si>
  <si>
    <t>JCP-HDC-HE006-3</t>
  </si>
  <si>
    <t>Industrijski Konektor - 16A, 6 Kontakta, Kabl na Kabl</t>
  </si>
  <si>
    <t>JCP-HDC-HE006-1</t>
  </si>
  <si>
    <t>Industrijski Konektor - 16A, 6 Kontakta, Na Šasiju</t>
  </si>
  <si>
    <t>TP20-F-3E</t>
  </si>
  <si>
    <t>Industrijski Konektor - 25A, 3 Kontakta, Na Šasiju</t>
  </si>
  <si>
    <t>TP28-F-3E</t>
  </si>
  <si>
    <t>PX-20 3P</t>
  </si>
  <si>
    <t>Industrijski Konektor - 25A, 3 Kontakta, Na Šasiju, IP68</t>
  </si>
  <si>
    <t>TP28-F-4E</t>
  </si>
  <si>
    <t>Industrijski Konektor - 25A, 4 Kontakta, Na Šasiju</t>
  </si>
  <si>
    <t>PX-20 4P</t>
  </si>
  <si>
    <t>Industrijski Konektor - 25A, 4 Kontakta, Na Šasiju, IP68</t>
  </si>
  <si>
    <t>TP28-F-5E</t>
  </si>
  <si>
    <t>Industrijski Konektor - 25A, 5 Kontakta, Na Šasiju</t>
  </si>
  <si>
    <t>PX-20 5P</t>
  </si>
  <si>
    <t>Industrijski Konektor - 25A, 5 Kontakta, Na Šasiju, IP68</t>
  </si>
  <si>
    <t>TP28-F-6E</t>
  </si>
  <si>
    <t>Industrijski Konektor - 25A, 6 Kontakta, Na Šasiju</t>
  </si>
  <si>
    <t>TP28-F-7E</t>
  </si>
  <si>
    <t>Industrijski Konektor - 25A, 7 Kontakta, Na Šasiju</t>
  </si>
  <si>
    <t>DF20-10</t>
  </si>
  <si>
    <t>Industrijski Konektor - 4A, 10 Kontakta, Kabl na Kabl</t>
  </si>
  <si>
    <t>DF20-7</t>
  </si>
  <si>
    <t>Industrijski Konektor - 4A, 7 Kontakta, Kabl na Kabl</t>
  </si>
  <si>
    <t>DF16-7</t>
  </si>
  <si>
    <t>DF16-A-7B</t>
  </si>
  <si>
    <t>Industrijski Konektor - 4A, 7 Kontakta, Na Šasiju</t>
  </si>
  <si>
    <t>DF20-8</t>
  </si>
  <si>
    <t>Industrijski Konektor - 4A, 8 Kontakta, Kabl na Kabl</t>
  </si>
  <si>
    <t>DF16-8</t>
  </si>
  <si>
    <t>DF16-9</t>
  </si>
  <si>
    <t>Industrijski Konektor - 4A, 9 Kontakta, Kabl na Kabl</t>
  </si>
  <si>
    <t>DF16-A-9B</t>
  </si>
  <si>
    <t>Industrijski Konektor - 4A, 9 Kontakta, Na Šasiju</t>
  </si>
  <si>
    <t>TP20-F-10E</t>
  </si>
  <si>
    <t>Industrijski Konektor - 5A, 10 Kontakta, Na Šasiju</t>
  </si>
  <si>
    <t>PX-20 12P</t>
  </si>
  <si>
    <t>Industrijski Konektor - 5A, 12 Kontakta, Na Šasiju, IP68</t>
  </si>
  <si>
    <t>TP20-F-14E</t>
  </si>
  <si>
    <t>Industrijski Konektor - 5A, 14 Kontakta, Na Šasiju</t>
  </si>
  <si>
    <t>TP28-F-20E</t>
  </si>
  <si>
    <t>Industrijski Konektor - 5A, 20 Kontakta, Na Šasiju</t>
  </si>
  <si>
    <t>TP28-F-24E</t>
  </si>
  <si>
    <t>Industrijski Konektor - 5A, 24 Kontakta, Na Šasiju</t>
  </si>
  <si>
    <t>DF20-4</t>
  </si>
  <si>
    <t>Industrijski Konektor - 5A, 4 Kontakta, Kabl na Kabl</t>
  </si>
  <si>
    <t>DF16-4</t>
  </si>
  <si>
    <t>DF16-A-4B</t>
  </si>
  <si>
    <t>Industrijski Konektor - 5A, 4 Kontakta, Na Šasiju</t>
  </si>
  <si>
    <t>PX-16 4P</t>
  </si>
  <si>
    <t>Industrijski Konektor - 5A, 4 Kontakta, Na Šasiju, IP68</t>
  </si>
  <si>
    <t>DF16-5</t>
  </si>
  <si>
    <t>Industrijski Konektor - 5A, 5 Kontakta, Kabl na Kabl</t>
  </si>
  <si>
    <t>DF20-5</t>
  </si>
  <si>
    <t>DF16-A-5B</t>
  </si>
  <si>
    <t>Industrijski Konektor - 5A, 5 Kontakta, Na Šasiju</t>
  </si>
  <si>
    <t>PX-16 5P</t>
  </si>
  <si>
    <t>Industrijski Konektor - 5A, 5 Kontakta, Na Šasiju, IP68</t>
  </si>
  <si>
    <t>DF20-6</t>
  </si>
  <si>
    <t>Industrijski Konektor - 5A, 6 Kontakta, Kabl na Kabl</t>
  </si>
  <si>
    <t>DF16-6</t>
  </si>
  <si>
    <t>DF16-A-6B</t>
  </si>
  <si>
    <t>Industrijski Konektor - 5A, 6 Kontakta, Na Šasiju</t>
  </si>
  <si>
    <t>PX-16 6P</t>
  </si>
  <si>
    <t>Industrijski Konektor - 5A, 6 Kontakta, Na Šasiju, IP68</t>
  </si>
  <si>
    <t>PX-16 7P</t>
  </si>
  <si>
    <t>Industrijski Konektor - 5A, 7 Kontakta, Na Šasiju, IP68</t>
  </si>
  <si>
    <t>PX-16 9P</t>
  </si>
  <si>
    <t>Industrijski Konektor - 5A, 9 Kontakta, Na Šasiju, IP68</t>
  </si>
  <si>
    <t>PX-20 9P</t>
  </si>
  <si>
    <t>DF20-2</t>
  </si>
  <si>
    <t>Industrijski Konektor - 7A, 2 Kontakta, Kabl na Kabl</t>
  </si>
  <si>
    <t>DF16-2</t>
  </si>
  <si>
    <t>DF16-A-2B</t>
  </si>
  <si>
    <t>Industrijski Konektor - 7A, 2 Kontakta, Na Šasiju</t>
  </si>
  <si>
    <t>DF20-3</t>
  </si>
  <si>
    <t>Industrijski Konektor - 7A, 3 Kontakta, Kabl na Kabl</t>
  </si>
  <si>
    <t>DF16-3</t>
  </si>
  <si>
    <t>DF16-A-3B</t>
  </si>
  <si>
    <t>Industrijski Konektor - 7A, 3 Kontakta, Na Šasiju</t>
  </si>
  <si>
    <t>H2519-10</t>
  </si>
  <si>
    <t>Luster Klema - 35A, 600V, 10 Kontakta</t>
  </si>
  <si>
    <t>EDS800-2S0004</t>
  </si>
  <si>
    <t>Frekventni Regulator - 0.4 kW, AC Invertor 220V, Monofazni</t>
  </si>
  <si>
    <t>GD10-0R4G-S2-B</t>
  </si>
  <si>
    <t>EDS-V300-2S0007</t>
  </si>
  <si>
    <t>Frekventni Regulator - 0.75 kW, AC Invertor 220V, Monofazni</t>
  </si>
  <si>
    <t>EDS800-2S0007</t>
  </si>
  <si>
    <t>EDS800-4T0007</t>
  </si>
  <si>
    <t>Frekventni Regulator - 0.75 kW, AC Invertor 380V, Trofazni</t>
  </si>
  <si>
    <t>GD10-0R7G-4-B</t>
  </si>
  <si>
    <t>EN600-2S0007</t>
  </si>
  <si>
    <t>Frekventni Regulator - 0.75kW, AC Invertor 220V, Monofazni</t>
  </si>
  <si>
    <t>EN600-4T0007G/0015P</t>
  </si>
  <si>
    <t>Frekventni Regulator - 0.75kW/1.5kW, AC Invertor 380V, Trofazni</t>
  </si>
  <si>
    <t>EN600-2S0015</t>
  </si>
  <si>
    <t>Frekventni Regulator - 1,5 kW, AC Invertor 220V, Monofazni</t>
  </si>
  <si>
    <t>EDS800-2S0015</t>
  </si>
  <si>
    <t>Frekventni Regulator - 1.5 kW, AC Invertor 220V, Monofazni</t>
  </si>
  <si>
    <t>EDS1000-2S0015</t>
  </si>
  <si>
    <t>GD10-1R5G-S2-B</t>
  </si>
  <si>
    <t>EDS-V300-2S0015</t>
  </si>
  <si>
    <t>E1000-0015S2F1K</t>
  </si>
  <si>
    <t>EDS800-4T0015</t>
  </si>
  <si>
    <t>Frekventni Regulator - 1.5 kW, AC Invertor 380V, Trofazni</t>
  </si>
  <si>
    <t>EM11-G3-1d5</t>
  </si>
  <si>
    <t>GD10-1R5G-4-B</t>
  </si>
  <si>
    <t>EN600-4T0015G/0022P</t>
  </si>
  <si>
    <t>Frekventni Regulator - 1.5kW/2.2kW, AC Invertor 380V, Trofazni</t>
  </si>
  <si>
    <t>EDS-V300-4T0110</t>
  </si>
  <si>
    <t>Frekventni Regulator - 11 kW, AC Invertor 380V, Trofazni</t>
  </si>
  <si>
    <t>EN500-4T1100G/1320P</t>
  </si>
  <si>
    <t>Frekventni Regulator - 110/132 kW, AC Invertor 380V, Trofazni</t>
  </si>
  <si>
    <t>EN600-4T0110G/0150P</t>
  </si>
  <si>
    <t>Frekventni Regulator - 11kW/15kW, AC Invertor 380V, Trofazni</t>
  </si>
  <si>
    <t>EN500-4T1320G/1600P</t>
  </si>
  <si>
    <t>Frekventni Regulator - 132/160 kW, AC Invertor 380V, Trofazni</t>
  </si>
  <si>
    <t>EN600-4T0150G/0185P</t>
  </si>
  <si>
    <t>Frekventni Regulator - 15kW/18.5kW, AC Invertor 380V, Trofazni</t>
  </si>
  <si>
    <t>EN500-4T1600G/2000P</t>
  </si>
  <si>
    <t>Frekventni Regulator - 160/200 kW, AC Invertor 380V, Trofazni</t>
  </si>
  <si>
    <t>F1500-G0185T3C</t>
  </si>
  <si>
    <t>Frekventni Regulator - 18.5 kW, AC Invertor 380V, Trofazni</t>
  </si>
  <si>
    <t>EDS1000-4T0185G/0220P</t>
  </si>
  <si>
    <t>Frekventni Regulator - 18.5/22 kW, AC Invertor 380V, Trofazni</t>
  </si>
  <si>
    <t>EN600-4T0185G/0220P</t>
  </si>
  <si>
    <t>Frekventni Regulator - 18.5kW/22kW, AC Invertor 380V, Trofazni</t>
  </si>
  <si>
    <t>EN600-2S0022</t>
  </si>
  <si>
    <t>Frekventni Regulator - 2,2 kW, AC Invertor 220V, Monofazni</t>
  </si>
  <si>
    <t>GD10-2R2G-S2-B</t>
  </si>
  <si>
    <t>Frekventni Regulator - 2.2 kW, AC Invertor 220V, Monofazni</t>
  </si>
  <si>
    <t>EM11-G3-2d2</t>
  </si>
  <si>
    <t>Frekventni Regulator - 2.2 kW, AC Invertor 380V, Trofazni</t>
  </si>
  <si>
    <t>GD10-2R2G-4-B</t>
  </si>
  <si>
    <t>EDS-V300-4T0022</t>
  </si>
  <si>
    <t>EN600-4T0022G/0037P</t>
  </si>
  <si>
    <t>Frekventni Regulator - 2.2kW/3.7kW, AC Invertor 380V, Trofazni</t>
  </si>
  <si>
    <t>EN500-4T2000G/2200P</t>
  </si>
  <si>
    <t>Frekventni Regulator - 200/220 kW, AC Invertor 380V, Trofazni</t>
  </si>
  <si>
    <t>EDS-V300-4T0220</t>
  </si>
  <si>
    <t>Frekventni Regulator - 22 kW, AC Invertor 380V, Trofazni</t>
  </si>
  <si>
    <t>EN500-4T2200G/2500P</t>
  </si>
  <si>
    <t>Frekventni Regulator - 220/250 kW, AC Invertor 380V, Trofazni</t>
  </si>
  <si>
    <t>EN600-4T0220G/0300P</t>
  </si>
  <si>
    <t>Frekventni Regulator - 22kW/30kW, AC Invertor 380V, Trofazni</t>
  </si>
  <si>
    <t>EN500-4T2500G/2800P</t>
  </si>
  <si>
    <t>Frekventni Regulator - 250/280 kW, AC Invertor 380V, Trofazni</t>
  </si>
  <si>
    <t>EN500-4T2800G/3150P</t>
  </si>
  <si>
    <t>Frekventni Regulator - 280/315 kW, AC Invertor 380V, Trofazni</t>
  </si>
  <si>
    <t>EN600-2S0037</t>
  </si>
  <si>
    <t>Frekventni Regulator - 3,7 kW, AC Invertor 220V, Monofazni</t>
  </si>
  <si>
    <t>EM11-G3-004</t>
  </si>
  <si>
    <t>Frekventni Regulator - 3.7 kW, AC Invertor 380V, Trofazni</t>
  </si>
  <si>
    <t>EDS1000-4T0037G/0055P</t>
  </si>
  <si>
    <t>Frekventni Regulator - 3.7/5.5 kW, AC Invertor 380V, Trofazni</t>
  </si>
  <si>
    <t>EN600-4T0037G/0055P</t>
  </si>
  <si>
    <t>Frekventni Regulator - 3.7kW, AC Invertor 380V, Trofazni</t>
  </si>
  <si>
    <t>EDS-V300-4T0300</t>
  </si>
  <si>
    <t>Frekventni Regulator - 30 kW, AC Invertor 380V, Trofazni</t>
  </si>
  <si>
    <t>EN600-4T0300G/0370P</t>
  </si>
  <si>
    <t>Frekventni Regulator - 30kW/37kW, AC Invertor 380V, Trofazni</t>
  </si>
  <si>
    <t>EN600-4T0370G/0450P</t>
  </si>
  <si>
    <t>Frekventni Regulator - 37kW/45kW, AC Invertor 380V, Trofazni</t>
  </si>
  <si>
    <t>EDS1000-4T0450G/0550P</t>
  </si>
  <si>
    <t>Frekventni Regulator - 45/55 kW, AC Invertor 380V, Trofazni</t>
  </si>
  <si>
    <t>EN600-4T0450G/0550P</t>
  </si>
  <si>
    <t>Frekventni Regulator - 45kW/55kW, AC Invertor 380V, Trofazni</t>
  </si>
  <si>
    <t>VB5-45P5</t>
  </si>
  <si>
    <t>Frekventni Regulator - 5.5 kW, AC Invertor 380V, Trofazni</t>
  </si>
  <si>
    <t>EN600-4T0055G/0075P</t>
  </si>
  <si>
    <t>Frekventni Regulator - 5.5kW/7.5kW, AC Invertor 380V, Trofazni</t>
  </si>
  <si>
    <t>EN600-4T0550G/0750P</t>
  </si>
  <si>
    <t>Frekventni Regulator - 55kW/75kW, AC Invertor 380V, Trofazni</t>
  </si>
  <si>
    <t>EM11-G3-7d5</t>
  </si>
  <si>
    <t>Frekventni Regulator - 7.5 kW, AC Invertor 380V, Trofazni</t>
  </si>
  <si>
    <t>EDS-V300-4T0075</t>
  </si>
  <si>
    <t>EDS1000-4T0075G/0110P</t>
  </si>
  <si>
    <t>Frekventni Regulator - 7.5/11 kW, AC Invertor 380V, Trofazni</t>
  </si>
  <si>
    <t>EN600-4T0075G/0110P</t>
  </si>
  <si>
    <t>Frekventni Regulator - 7.5kW/11kW, AC Invertor 380V, Trofazni</t>
  </si>
  <si>
    <t>EN500-4T0750G/0900P</t>
  </si>
  <si>
    <t>Frekventni Regulator - 75/90 kW, AC Invertor 380V, Trofazni</t>
  </si>
  <si>
    <t>EN500-4T0900G/1100P</t>
  </si>
  <si>
    <t>Frekventni Regulator - 90/110 kW, AC Invertor 380V, Trofazni</t>
  </si>
  <si>
    <t>DPP Kabl 10m</t>
  </si>
  <si>
    <t>DPP Kabl - Produžni kabl 10m</t>
  </si>
  <si>
    <t>DPP Kabl 2m</t>
  </si>
  <si>
    <t>DPP Kabl - Produžni kabl 2m</t>
  </si>
  <si>
    <t>DPP Kabl 3m</t>
  </si>
  <si>
    <t>DPP Kabl - Produžni kabl 3m</t>
  </si>
  <si>
    <t>DPP Kabl 5m</t>
  </si>
  <si>
    <t>DPP Kabl - Produžni kabl 5m</t>
  </si>
  <si>
    <t>POT KABL 1.2m</t>
  </si>
  <si>
    <t>Kabl sa Potenciometrom - Kabl sa 5kΩ potenciometrom i kapicom, 1.2m</t>
  </si>
  <si>
    <t>CAB-090A232</t>
  </si>
  <si>
    <t>Kabl za Komunikaciju - Koristi se za RS232 komunikaciju sa TC-PRO482 brojačima.</t>
  </si>
  <si>
    <t>CAB-090A485</t>
  </si>
  <si>
    <t>Kabl za Komunikaciju - Koristi se za RS485 komunikaciju sa TC-PRO482 brojačima.</t>
  </si>
  <si>
    <t>FLAT RIBBON 0.6m</t>
  </si>
  <si>
    <t>Kabl za Pult - Flat Ribbon, 0.6m</t>
  </si>
  <si>
    <t>FLAT RIBBON 1.2m</t>
  </si>
  <si>
    <t>Kabl za Pult - Flat Ribbon, 1.2m</t>
  </si>
  <si>
    <t>FLAT RIBBON 2m</t>
  </si>
  <si>
    <t>Kabl za Pult - Flat Ribbon, 2m</t>
  </si>
  <si>
    <t>FLAT RIBBON 3m</t>
  </si>
  <si>
    <t>Kabl za Pult - Flat Ribbon, 3m</t>
  </si>
  <si>
    <t>FLAT RIBBON 4m</t>
  </si>
  <si>
    <t>Kabl za Pult - Flat Ribbon, 4m</t>
  </si>
  <si>
    <t>PATCH CORD 10m</t>
  </si>
  <si>
    <t>Kabl za Pult - Patch Cord, 10m</t>
  </si>
  <si>
    <t>PATCH CORD 1m</t>
  </si>
  <si>
    <t>Kabl za Pult - Patch Cord, 1m</t>
  </si>
  <si>
    <t>PATCH CORD 20m</t>
  </si>
  <si>
    <t>Kabl za Pult - Patch Cord, 20m</t>
  </si>
  <si>
    <t>PATCH CORD 2m</t>
  </si>
  <si>
    <t>Kabl za Pult - Patch Cord, 2m</t>
  </si>
  <si>
    <t>PATCH CORD 3m</t>
  </si>
  <si>
    <t>Kabl za Pult - Patch Cord, 3m</t>
  </si>
  <si>
    <t>PATCH CORD 5m</t>
  </si>
  <si>
    <t>Kabl za Pult - Patch Cord, 5m</t>
  </si>
  <si>
    <t>SKS-HN-2G</t>
  </si>
  <si>
    <t>Kočioni Modul - 132 - 200kW, 400V</t>
  </si>
  <si>
    <t>SKS-HN-2L</t>
  </si>
  <si>
    <t>Kočioni Modul - 33 – 55kW, 400V</t>
  </si>
  <si>
    <t>SKS-HN-1L</t>
  </si>
  <si>
    <t>Kočioni Modul - 7.5 – 22kW, 400V</t>
  </si>
  <si>
    <t>SKS-HN-3L</t>
  </si>
  <si>
    <t>Kočioni Modul - 75 - 110kW, 400V</t>
  </si>
  <si>
    <t>BRA1000W20R</t>
  </si>
  <si>
    <t>Aluminijumski Kočioni Otpornik - 1000W, 20Ω</t>
  </si>
  <si>
    <t>BRA1000W30R</t>
  </si>
  <si>
    <t>Aluminijumski Kočioni Otpornik - 1000W, 30Ω</t>
  </si>
  <si>
    <t>BRA1000W40R</t>
  </si>
  <si>
    <t>Aluminijumski Kočioni Otpornik - 1000W, 40Ω</t>
  </si>
  <si>
    <t>BRA1000W50R</t>
  </si>
  <si>
    <t>Aluminijumski Kočioni Otpornik - 1000W, 50Ω</t>
  </si>
  <si>
    <t>BRA1000W75R</t>
  </si>
  <si>
    <t>Aluminijumski Kočioni Otpornik - 1000W, 75Ω</t>
  </si>
  <si>
    <t>BRA1000W80R</t>
  </si>
  <si>
    <t>Aluminijumski Kočioni Otpornik - 1000W, 80Ω</t>
  </si>
  <si>
    <t>BRA100W100R</t>
  </si>
  <si>
    <t>Aluminijumski Kočioni Otpornik - 100W, 100Ω</t>
  </si>
  <si>
    <t>BRA100W150R</t>
  </si>
  <si>
    <t>Aluminijumski Kočioni Otpornik - 100W, 150Ω</t>
  </si>
  <si>
    <t>BRA100W500R</t>
  </si>
  <si>
    <t>Aluminijumski Kočioni Otpornik - 100W, 500Ω</t>
  </si>
  <si>
    <t>BRA100W50R</t>
  </si>
  <si>
    <t>Aluminijumski Kočioni Otpornik - 100W, 50Ω</t>
  </si>
  <si>
    <t>BRA1500W40R</t>
  </si>
  <si>
    <t>Aluminijumski Kočioni Otpornik - 1500W, 40Ω</t>
  </si>
  <si>
    <t>BRA150W100R</t>
  </si>
  <si>
    <t>Aluminijumski Kočioni Otpornik - 150W, 100Ω</t>
  </si>
  <si>
    <t>BRA150W150R</t>
  </si>
  <si>
    <t>Aluminijumski Kočioni Otpornik - 150W, 150Ω</t>
  </si>
  <si>
    <t>BRA2000W20R</t>
  </si>
  <si>
    <t>Aluminijumski Kočioni Otpornik - 2000W, 20Ω</t>
  </si>
  <si>
    <t>BRA200W100R</t>
  </si>
  <si>
    <t>Aluminijumski Kočioni Otpornik - 200W, 100Ω</t>
  </si>
  <si>
    <t>BRA200W150R</t>
  </si>
  <si>
    <t>Aluminijumski Kočioni Otpornik - 200W, 150Ω</t>
  </si>
  <si>
    <t>BRA200W25R</t>
  </si>
  <si>
    <t>Aluminijumski Kočioni Otpornik - 200W, 25Ω</t>
  </si>
  <si>
    <t>BRA200W300R</t>
  </si>
  <si>
    <t>Aluminijumski Kočioni Otpornik - 200W, 300Ω</t>
  </si>
  <si>
    <t>BRA200W50R</t>
  </si>
  <si>
    <t>Aluminijumski Kočioni Otpornik - 200W, 50Ω</t>
  </si>
  <si>
    <t>BRA250W120R</t>
  </si>
  <si>
    <t>Aluminijumski Kočioni Otpornik - 250W, 120Ω</t>
  </si>
  <si>
    <t>BRA300W100R</t>
  </si>
  <si>
    <t>Aluminijumski Kočioni Otpornik - 300W, 100Ω</t>
  </si>
  <si>
    <t>BRA300W300R</t>
  </si>
  <si>
    <t>Aluminijumski Kočioni Otpornik - 300W, 300Ω</t>
  </si>
  <si>
    <t>BRA300W30R</t>
  </si>
  <si>
    <t>Aluminijumski Kočioni Otpornik - 300W, 30Ω</t>
  </si>
  <si>
    <t>BRA400W100R</t>
  </si>
  <si>
    <t>Aluminijumski Kočioni Otpornik - 400W, 100Ω</t>
  </si>
  <si>
    <t>BRA400W120R</t>
  </si>
  <si>
    <t>Aluminijumski Kočioni Otpornik - 400W, 120Ω</t>
  </si>
  <si>
    <t>BRA400W150R</t>
  </si>
  <si>
    <t>Aluminijumski Kočioni Otpornik - 400W, 150Ω</t>
  </si>
  <si>
    <t>BRA400W50R</t>
  </si>
  <si>
    <t>Aluminijumski Kočioni Otpornik - 400W, 50Ω</t>
  </si>
  <si>
    <t>BRA400W80R</t>
  </si>
  <si>
    <t>Aluminijumski Kočioni Otpornik - 400W, 80Ω</t>
  </si>
  <si>
    <t>BRA500W120R</t>
  </si>
  <si>
    <t>Aluminijumski Kočioni Otpornik - 500W, 120Ω</t>
  </si>
  <si>
    <t>BRA500W150R</t>
  </si>
  <si>
    <t>Aluminijumski Kočioni Otpornik - 500W, 150Ω</t>
  </si>
  <si>
    <t>BRA500W50R</t>
  </si>
  <si>
    <t>Aluminijumski Kočioni Otpornik - 500W, 50Ω</t>
  </si>
  <si>
    <t>BRA500W60R</t>
  </si>
  <si>
    <t>Aluminijumski Kočioni Otpornik - 500W, 60Ω</t>
  </si>
  <si>
    <t>BRA500W80R</t>
  </si>
  <si>
    <t>Aluminijumski Kočioni Otpornik - 500W, 80Ω</t>
  </si>
  <si>
    <t>BRA6000W20R</t>
  </si>
  <si>
    <t>Aluminijumski Kočioni Otpornik - 6000W, 20Ω</t>
  </si>
  <si>
    <t>BRA600W100R</t>
  </si>
  <si>
    <t>Aluminijumski Kočioni Otpornik - 600W, 100Ω</t>
  </si>
  <si>
    <t>BRA650W75R</t>
  </si>
  <si>
    <t>Aluminijumski Kočioni Otpornik - 650W, 75Ω</t>
  </si>
  <si>
    <t>BRA800W100R</t>
  </si>
  <si>
    <t>Aluminijumski Kočioni Otpornik - 800W, 100Ω</t>
  </si>
  <si>
    <t>BRA800W80R</t>
  </si>
  <si>
    <t>Aluminijumski Kočioni Otpornik - 800W, 80Ω</t>
  </si>
  <si>
    <t>BRW1000W20R</t>
  </si>
  <si>
    <t>Keramički Kočioni Otpornik - 1000W, 20Ω</t>
  </si>
  <si>
    <t>BRW1000W40R</t>
  </si>
  <si>
    <t>Keramički Kočioni Otpornik - 1000W, 40Ω</t>
  </si>
  <si>
    <t>BRW1000W50R</t>
  </si>
  <si>
    <t>Keramički Kočioni Otpornik - 1000W, 50Ω</t>
  </si>
  <si>
    <t>BRW1000W80R</t>
  </si>
  <si>
    <t>Keramički Kočioni Otpornik - 1000W, 80Ω</t>
  </si>
  <si>
    <t>BRW1000W90R</t>
  </si>
  <si>
    <t>Keramički Kočioni Otpornik - 1000W, 90Ω</t>
  </si>
  <si>
    <t>BRW2000W10R</t>
  </si>
  <si>
    <t>Keramički Kočioni Otpornik - 2000W, 10Ω</t>
  </si>
  <si>
    <t>BRW2000W20R</t>
  </si>
  <si>
    <t>Keramički Kočioni Otpornik - 2000W, 20Ω</t>
  </si>
  <si>
    <t>BRW2000W80R</t>
  </si>
  <si>
    <t>Keramički Kočioni Otpornik - 2000W, 80Ω</t>
  </si>
  <si>
    <t>BRW3000W50R</t>
  </si>
  <si>
    <t>Keramički Kočioni Otpornik - 3000W, 50Ω</t>
  </si>
  <si>
    <t>BRW400W150R</t>
  </si>
  <si>
    <t>Keramički Kočioni Otpornik - 400W, 150Ω</t>
  </si>
  <si>
    <t>BRW500W120R</t>
  </si>
  <si>
    <t>Keramički Kočioni Otpornik - 500W, 120Ω</t>
  </si>
  <si>
    <t>BRW6000W20R</t>
  </si>
  <si>
    <t>Keramički Kočioni Otpornik - 6000W, 20Ω</t>
  </si>
  <si>
    <t>BRW600W50R</t>
  </si>
  <si>
    <t>Keramički Kočioni Otpornik - 600W, 50Ω</t>
  </si>
  <si>
    <t>HKB-2011</t>
  </si>
  <si>
    <t>Komandna Palica - 2 x NO položaja, Ostaje u izabranom položaju</t>
  </si>
  <si>
    <t>GXB2-PA12</t>
  </si>
  <si>
    <t>XD2-PA12CR</t>
  </si>
  <si>
    <t>LEL-02-1</t>
  </si>
  <si>
    <t>Komandna Palica - 2 x NO položaja, Vraća se u neutralni položaj</t>
  </si>
  <si>
    <t>XD2-PA22CR</t>
  </si>
  <si>
    <t>GXB2-PA22</t>
  </si>
  <si>
    <t>HKB-201</t>
  </si>
  <si>
    <t>XD2-PA14CR</t>
  </si>
  <si>
    <t>Komandna Palica - 4 x NO položaja, Ostaje u izabranom položaju</t>
  </si>
  <si>
    <t>GXB2-PA14</t>
  </si>
  <si>
    <t>HKB-4022</t>
  </si>
  <si>
    <t>GXB2-PA24</t>
  </si>
  <si>
    <t>Komandna Palica - 4 x NO položaja, Vraća se u neutralni položaj</t>
  </si>
  <si>
    <t>HKB-402</t>
  </si>
  <si>
    <t>XD2-PA24CR</t>
  </si>
  <si>
    <t>LEL-04-1</t>
  </si>
  <si>
    <t>OM-201A-M2</t>
  </si>
  <si>
    <t>Komandna Palica - Potenciometarski 5kΩ, 2-ose</t>
  </si>
  <si>
    <t>OM-400A-M2</t>
  </si>
  <si>
    <t>Komandna Palica - Potenciometarski 5kΩ, 2-ose, sa tasterom</t>
  </si>
  <si>
    <t>AR-20B</t>
  </si>
  <si>
    <t>Pomoćni Kontakt - 1NC, Za XD2 i GXB2 komandne palice</t>
  </si>
  <si>
    <t>AR-10A</t>
  </si>
  <si>
    <t>Pomoćni Kontakt - 1NO, Za XD2 i GXB2 komandne palice</t>
  </si>
  <si>
    <t>ADP-090401</t>
  </si>
  <si>
    <t>DSUB Adapter - DB9 muški na 4 pina rednu klemu (RS485)</t>
  </si>
  <si>
    <t>DIFF-OC</t>
  </si>
  <si>
    <t>Ekspansioni Modul - Diferencijalni na otvoreni kolektor adapter</t>
  </si>
  <si>
    <t>OC-DIFF</t>
  </si>
  <si>
    <t>Ekspansioni Modul - Otvoreni kolektor na diferencijalni adapter</t>
  </si>
  <si>
    <t>PC RS232-485</t>
  </si>
  <si>
    <t>Komunikacioni Konverter - RS232 → RS485, 300 ~ 115000 bps</t>
  </si>
  <si>
    <t>AF-S485</t>
  </si>
  <si>
    <t>Komunikacioni Konverter - RS232 → RS485, Za DIN šinu</t>
  </si>
  <si>
    <t>LX08A</t>
  </si>
  <si>
    <t>Komunikacioni Konverter - USB → RS232/485, 300 ~ 115000 bps</t>
  </si>
  <si>
    <t>PC USB-485</t>
  </si>
  <si>
    <t>Komunikacioni Konverter - USB → RS485, 300 ~ 115000 bps</t>
  </si>
  <si>
    <t>LX08H</t>
  </si>
  <si>
    <t>AR-1520U</t>
  </si>
  <si>
    <t>Komunikacioni Konverter - USB → RS485, Za DIN šinu ili zid</t>
  </si>
  <si>
    <t>YC100-508 10P</t>
  </si>
  <si>
    <t>Dvodelna Klema - 10 polna, horizontalna, RM5.08, 16A, 300V</t>
  </si>
  <si>
    <t>YC100-508 11P</t>
  </si>
  <si>
    <t>Dvodelna Klema - 11 polna, horizontalna, RM5.08, 16A, 300V</t>
  </si>
  <si>
    <t>YC420-350 16P</t>
  </si>
  <si>
    <t>Dvodelna Klema - 16 polna, horizontalna, RM3.5, 12A, 300V</t>
  </si>
  <si>
    <t>YC420-381 16P</t>
  </si>
  <si>
    <t>Dvodelna Klema - 16 polna, horizontalna, RM3.81, 12A, 300V</t>
  </si>
  <si>
    <t>YC100-508 16P</t>
  </si>
  <si>
    <t>Dvodelna Klema - 16 polna, horizontalna, RM5.08, 16A, 300V</t>
  </si>
  <si>
    <t>HD-515R 2P</t>
  </si>
  <si>
    <t>Dvodelna Klema - 2 polna, horizontalna, RM5.08, 10A, 300V</t>
  </si>
  <si>
    <t>YC100-508 2P</t>
  </si>
  <si>
    <t>Dvodelna Klema - 2 polna, horizontalna, RM5.08, 16A, 300V</t>
  </si>
  <si>
    <t>HD-515R 4P</t>
  </si>
  <si>
    <t>Dvodelna Klema - 4 polna, horizontalna, RM5.08, 10A, 300V</t>
  </si>
  <si>
    <t>YC100-508 4P</t>
  </si>
  <si>
    <t>Dvodelna Klema - 4 polna, horizontalna, RM5.08, 16A, 300V</t>
  </si>
  <si>
    <t>HD-515R 5P</t>
  </si>
  <si>
    <t>Dvodelna Klema - 5 polna, horizontalna, RM5.08, 10A, 300V</t>
  </si>
  <si>
    <t>YC100-508 5P</t>
  </si>
  <si>
    <t>Dvodelna Klema - 5 polna, horizontalna, RM5.08, 16A, 300V</t>
  </si>
  <si>
    <t>YC420-350 8P</t>
  </si>
  <si>
    <t>Dvodelna Klema - 8 polna, horizontalna, RM3.5, 12A, 300V</t>
  </si>
  <si>
    <t>YC100-508 8P</t>
  </si>
  <si>
    <t>Dvodelna Klema - 8 polna, horizontalna, RM5.08, 16A, 300V</t>
  </si>
  <si>
    <t>FLAT 10 MK</t>
  </si>
  <si>
    <t>Flat Konektor - 2x5 pina, Muški, RM2.54</t>
  </si>
  <si>
    <t>FLAT 10</t>
  </si>
  <si>
    <t>Flat Konektor - 2x5 pina, Ženski, RM2.54</t>
  </si>
  <si>
    <t>TS-502 2P</t>
  </si>
  <si>
    <t>Klema - 2 polna, horizontalna, RM5.08, 10A, 300V</t>
  </si>
  <si>
    <t>TS-502 3P</t>
  </si>
  <si>
    <t>Klema - 3 polna, horizontalna, RM5.08, 10A, 300V</t>
  </si>
  <si>
    <t>XM-18</t>
  </si>
  <si>
    <t>Inkubator Kontroler - Senzori Temperature i Vlage, 7 Signalnih Izlaza, Alarm x 4, Okretanje Jaja, 220VAC</t>
  </si>
  <si>
    <t>NPTR</t>
  </si>
  <si>
    <t>Kontroler Nivoa - 0 – 60min, 1 x NO/NC, 220V</t>
  </si>
  <si>
    <t>DHCY1-S</t>
  </si>
  <si>
    <t>Rele Nivoa Tečnosti - 1 kontrolni nivo, DIN, 220VAC or 400VAC</t>
  </si>
  <si>
    <t>HY-L800</t>
  </si>
  <si>
    <t>Dodatna Oprema za Krajnji Prekidač - 1NO + 1NC, 6A 250VAC</t>
  </si>
  <si>
    <t>MS-10</t>
  </si>
  <si>
    <t>Dodatna Oprema za Mikro Prekidač  - Poklopac priključaka za HY seriju mikroprekidača</t>
  </si>
  <si>
    <t>WL-CA12-2</t>
  </si>
  <si>
    <t>Krajnji Prekidač - 1NO + 1NC, 10A 250VAC, IP65</t>
  </si>
  <si>
    <t>WL-D2</t>
  </si>
  <si>
    <t>WL-CA32-41</t>
  </si>
  <si>
    <t>TZ-8108</t>
  </si>
  <si>
    <t>Krajnji Prekidač - 1NO + 1NC, 10A 250VAC, IP66</t>
  </si>
  <si>
    <t>TZ-8107</t>
  </si>
  <si>
    <t>TZ-8169</t>
  </si>
  <si>
    <t>TZ-8104</t>
  </si>
  <si>
    <t>TZ-8122</t>
  </si>
  <si>
    <t>TZ-8112</t>
  </si>
  <si>
    <t>TZ-8111</t>
  </si>
  <si>
    <t>XCK-S102</t>
  </si>
  <si>
    <t>Krajnji Prekidač - 1NO + 1NC, 3A 250VAC, IP65</t>
  </si>
  <si>
    <t>XCK-S141</t>
  </si>
  <si>
    <t>XCK-T106</t>
  </si>
  <si>
    <t>XCK-P106</t>
  </si>
  <si>
    <t>XCK-T118</t>
  </si>
  <si>
    <t>XCK-T121</t>
  </si>
  <si>
    <t>XCK-J167</t>
  </si>
  <si>
    <t>Krajnji Prekidač - 1NO + 1NC, 3A 250VAC, IP66</t>
  </si>
  <si>
    <t>XCK-J108</t>
  </si>
  <si>
    <t>XCK-J121</t>
  </si>
  <si>
    <t>ME-8107</t>
  </si>
  <si>
    <t>Krajnji Prekidač - 1NO + 1NC, 5A 250VAC, IP66</t>
  </si>
  <si>
    <t>HY-LS803RN</t>
  </si>
  <si>
    <t>Krajnji Prekidač - 1NO + 1NC, 6A 250VAC, 4A 30VDC, IP54</t>
  </si>
  <si>
    <t>HY-L807</t>
  </si>
  <si>
    <t>Krajnji Prekidač - 1NO + 1NC, 6A 250VAC, IP54</t>
  </si>
  <si>
    <t>HY-L802C</t>
  </si>
  <si>
    <t>HY-L808</t>
  </si>
  <si>
    <t>HY-L803</t>
  </si>
  <si>
    <t>HY-L804</t>
  </si>
  <si>
    <t>HY-L809</t>
  </si>
  <si>
    <t>HY-L802</t>
  </si>
  <si>
    <t>MEA-9107</t>
  </si>
  <si>
    <t>Krajnji Prekidač - 1NO + 1NC, 6A 250VAC, IP65</t>
  </si>
  <si>
    <t>MEA-9166</t>
  </si>
  <si>
    <t>HY-M907</t>
  </si>
  <si>
    <t>Krajnji Prekidač - 1NO + 1NC, 6A 250VAC, IP67</t>
  </si>
  <si>
    <t>HY-M909</t>
  </si>
  <si>
    <t>HY-M902</t>
  </si>
  <si>
    <t>HY-M908L</t>
  </si>
  <si>
    <t>HY-M903</t>
  </si>
  <si>
    <t>HY-M908R</t>
  </si>
  <si>
    <t>HY-M904</t>
  </si>
  <si>
    <t>HY-L707C</t>
  </si>
  <si>
    <t>Mikro Prekidač - 1NO + 1NC, 10A 250VAC</t>
  </si>
  <si>
    <t>HY-P701B</t>
  </si>
  <si>
    <t>HY-R704A</t>
  </si>
  <si>
    <t>HY-P701A</t>
  </si>
  <si>
    <t>HY-R704B</t>
  </si>
  <si>
    <t>HY-PR708A</t>
  </si>
  <si>
    <t>HY-R704C</t>
  </si>
  <si>
    <t>HY-PR708B</t>
  </si>
  <si>
    <t>HY-R704-2W</t>
  </si>
  <si>
    <t>V-152-1C25</t>
  </si>
  <si>
    <t>Mikro Prekidač - 1NO + 1NC, 3A 250VAC</t>
  </si>
  <si>
    <t>V-153-1C25</t>
  </si>
  <si>
    <t>V-156-1C25</t>
  </si>
  <si>
    <t>V-154-1C25</t>
  </si>
  <si>
    <t>V-15-1C25</t>
  </si>
  <si>
    <t>V-155-1C25</t>
  </si>
  <si>
    <t>YL23-02</t>
  </si>
  <si>
    <t>V-151-1C25</t>
  </si>
  <si>
    <t>KW11-7-1</t>
  </si>
  <si>
    <t>Mikro Prekidač - 1NO, 3A 250VAC</t>
  </si>
  <si>
    <t>D4MC-1000</t>
  </si>
  <si>
    <t>Mikro Prekidač - SPST, 10A 250VDC</t>
  </si>
  <si>
    <t>D4MC-2000</t>
  </si>
  <si>
    <t>Mini LED Displej Beli</t>
  </si>
  <si>
    <t>Mini LED Displej - Beli, 8 poruka, 11 efekata, Na bateriju, USB programiranje i punjunje</t>
  </si>
  <si>
    <t>Mini LED Displej Crveni</t>
  </si>
  <si>
    <t>Mini LED Displej - Crveni, 8 poruka, 11 efekata, Na bateriju, USB programiranje i punjunje</t>
  </si>
  <si>
    <t>Mini LED Displej Plavi</t>
  </si>
  <si>
    <t>Mini LED Displej - Plavi, 8 poruka, 11 efekata, Na bateriju, USB programiranje i punjunje</t>
  </si>
  <si>
    <t>Mini LED Displej Zeleni</t>
  </si>
  <si>
    <t>Mini LED Displej - Zeleni, 8 poruka, 11 efekata, Na bateriju, USB programiranje i punjunje</t>
  </si>
  <si>
    <t>Mini LED Displej Žuti</t>
  </si>
  <si>
    <t>Mini LED Displej - Žuti, 8 poruka, 11 efekata, Na bateriju, USB programiranje i punjunje</t>
  </si>
  <si>
    <t>NEO 12x3</t>
  </si>
  <si>
    <t>Neodimium Magnet - D12 x H3, otvor B5.0 - C3.2</t>
  </si>
  <si>
    <t>D67-F</t>
  </si>
  <si>
    <t>Mehanički Brojač - Merni Opseg 0-99999, Brzina Brojanja 200 u Minuti</t>
  </si>
  <si>
    <t>GA8-0A</t>
  </si>
  <si>
    <t>Analogni Signal Generator i Kalibrator - 0 – 22mA / 0 – 100mV / 0 – 10V, 90 – 260VAC</t>
  </si>
  <si>
    <t>KS-2</t>
  </si>
  <si>
    <t>Analogni Termometar - 0°C – 120°C</t>
  </si>
  <si>
    <t>KS-6</t>
  </si>
  <si>
    <t>Baštenski Termometar - -30°C – 50°C, 26 x 6cm</t>
  </si>
  <si>
    <t>TK100</t>
  </si>
  <si>
    <t>Digitalni Hidrometar - 4 cifre, Opseg 0 – 60%, Tačnost ± 0.5%</t>
  </si>
  <si>
    <t>TK100W</t>
  </si>
  <si>
    <t>Digitalni Hidrometar - 4 cifre, Opseg 0 – 80%, Tačnost ± 0.5%</t>
  </si>
  <si>
    <t>VA21</t>
  </si>
  <si>
    <t>Digitalni Multimetar - Bezkontaktna detekcija AC napona i alarm pogrešno povezanih pipalica</t>
  </si>
  <si>
    <t>HTC-1</t>
  </si>
  <si>
    <t>Digitalni Termo-Hidrometar - Merenje unutrašnja temperature i vlage, Sat, Baterija 1,5V</t>
  </si>
  <si>
    <t>HT-350</t>
  </si>
  <si>
    <t>Digitalni Termo-Hidrometar - Ručni, Temperatura i vlaga, Baterija 9V</t>
  </si>
  <si>
    <t>DTH-22</t>
  </si>
  <si>
    <t>Digitalni Termo-Hidrometar - Spoljašnja i unutršnja temperatura i vlaga, Baterija 1,5V</t>
  </si>
  <si>
    <t>HC520</t>
  </si>
  <si>
    <t>Digitalni Termo-Hidrometar - Spoljašnja i unutršnja temperatura, Unutršnja Vlaga, Baterija 1,5V</t>
  </si>
  <si>
    <t>KT908</t>
  </si>
  <si>
    <t>DTH-12</t>
  </si>
  <si>
    <t>KT906</t>
  </si>
  <si>
    <t>Digitalni Termo-Hidrometar - Spoljašnja i unutršnja temperatura, Unutršnja vlaga, Sat, Baterija 1,5V</t>
  </si>
  <si>
    <t>TL8048</t>
  </si>
  <si>
    <t>Digitalni Termo-Hidrometar - Unutršnja temperatura i vlaga, Baterija 1,5V LR44</t>
  </si>
  <si>
    <t>TL8015A</t>
  </si>
  <si>
    <t>DT55-1</t>
  </si>
  <si>
    <t>Digitalni Termometar - -30°C – 60°C, 220VAC</t>
  </si>
  <si>
    <t>TL8021B</t>
  </si>
  <si>
    <t>Digitalni Termometar - -50°C – 300°C</t>
  </si>
  <si>
    <t>TP101</t>
  </si>
  <si>
    <t>TA238</t>
  </si>
  <si>
    <t>SP-E-21</t>
  </si>
  <si>
    <t>Digitalni Termometar - -50°C – 70°C</t>
  </si>
  <si>
    <t>TBT-10H</t>
  </si>
  <si>
    <t>Digitalni Termometar - 200mm, -50°C – 300°C</t>
  </si>
  <si>
    <t>TL-8002</t>
  </si>
  <si>
    <t>Digitalni Termometar za Vino - -9°C – 70°C</t>
  </si>
  <si>
    <t>DT-8011H</t>
  </si>
  <si>
    <t>Infracrveni Termometar - -50°C – 1100°C, Baterija 9V</t>
  </si>
  <si>
    <t>HT-6889</t>
  </si>
  <si>
    <t>Infracrveni Termometar - -50°C – 1600°C, Baterija 9V</t>
  </si>
  <si>
    <t>DT8220</t>
  </si>
  <si>
    <t>Infracrveni Termometar - -50°C – 220°C, Baterija 1,5V</t>
  </si>
  <si>
    <t>DT-8580</t>
  </si>
  <si>
    <t>Infracrveni Termometar - -50°C – 580°C, Baterija 9V</t>
  </si>
  <si>
    <t>DT-8600B</t>
  </si>
  <si>
    <t>Infracrveni Termometar Transmiter - -50°C – 600°C, Izlaz 4 – 20mA, 24VDC</t>
  </si>
  <si>
    <t>Kablovi za Merne Instrumente</t>
  </si>
  <si>
    <t>Kablovi za Merne Instrumente - 1000V 10A, Dužina Kabla 88cm</t>
  </si>
  <si>
    <t>DDS238-1</t>
  </si>
  <si>
    <t>Merač Utrošene Energije - Max Struja 32A, 230VAC</t>
  </si>
  <si>
    <t>SGCS 0-20mA</t>
  </si>
  <si>
    <t>Strujni Izvor - Izlaz 0 – 20mA, Napajanje 12 – 30VDC</t>
  </si>
  <si>
    <t>DT-6236B</t>
  </si>
  <si>
    <t>Tahometar - Merenje optičko/kontaktno, 5 cifara (31mm)</t>
  </si>
  <si>
    <t>G600</t>
  </si>
  <si>
    <t>Termo-Hidrometar - Metalno kućište, -20°C – 100°C, 0 – 100%Rh, 20 x Ø126mm</t>
  </si>
  <si>
    <t>DYWSJ</t>
  </si>
  <si>
    <t>Termo-Hidrometar - Plastičan, -30°C – 50°C, 0 – 100%Rh, 6.5 x 23cm</t>
  </si>
  <si>
    <t>KS-4</t>
  </si>
  <si>
    <t>Termometar za Frižider - -40°C – 50°C, 11 x 2cm</t>
  </si>
  <si>
    <t>KA-300-1020-5</t>
  </si>
  <si>
    <t>Merna Letva - Merna dužina 1020mm, 5μm</t>
  </si>
  <si>
    <t>KA-600-1100-5</t>
  </si>
  <si>
    <t>Merna Letva - Merna dužina 1100mm, 5μm</t>
  </si>
  <si>
    <t>KA-600-1200-5</t>
  </si>
  <si>
    <t>Merna Letva - Merna dužina 1200mm, 5μm</t>
  </si>
  <si>
    <t>KA-600-1300-5</t>
  </si>
  <si>
    <t>Merna Letva - Merna dužina 1300mm, 5μm</t>
  </si>
  <si>
    <t>KA-600-1400-5</t>
  </si>
  <si>
    <t>Merna Letva - Merna dužina 1400mm, 5μm</t>
  </si>
  <si>
    <t>KA-600-1500-5</t>
  </si>
  <si>
    <t>Merna Letva - Merna dužina 1500mm, 5μm</t>
  </si>
  <si>
    <t>KA-600-1600-5</t>
  </si>
  <si>
    <t>Merna Letva - Merna dužina 1600mm, 5μm</t>
  </si>
  <si>
    <t>KA-600-1700-5</t>
  </si>
  <si>
    <t>Merna Letva - Merna dužina 1700mm, 5μm</t>
  </si>
  <si>
    <t>KA-300-170-5</t>
  </si>
  <si>
    <t>Merna Letva - Merna dužina 170mm, 5μm</t>
  </si>
  <si>
    <t>KA-500-170-5</t>
  </si>
  <si>
    <t>KA-600-1800-5</t>
  </si>
  <si>
    <t>Merna Letva - Merna dužina 1800mm, 5μm</t>
  </si>
  <si>
    <t>KA-600-1900-5</t>
  </si>
  <si>
    <t>Merna Letva - Merna dužina 1900mm, 5μm</t>
  </si>
  <si>
    <t>KA-600-2000-5</t>
  </si>
  <si>
    <t>Merna Letva - Merna dužina 2000mm, 5μm</t>
  </si>
  <si>
    <t>KA-600-2100-5</t>
  </si>
  <si>
    <t>Merna Letva - Merna dužina 2100mm, 5μm</t>
  </si>
  <si>
    <t>KA-300-220-5</t>
  </si>
  <si>
    <t>Merna Letva - Merna dužina 220mm, 5μm</t>
  </si>
  <si>
    <t>KA-500-220-5</t>
  </si>
  <si>
    <t>KA-600-2300-5</t>
  </si>
  <si>
    <t>Merna Letva - Merna dužina 2300mm, 5μm</t>
  </si>
  <si>
    <t>KA-600-2500-5</t>
  </si>
  <si>
    <t>Merna Letva - Merna dužina 2500mm, 5μm</t>
  </si>
  <si>
    <t>KA-500-270-5</t>
  </si>
  <si>
    <t>Merna Letva - Merna dužina 270mm, 5μm</t>
  </si>
  <si>
    <t>KA-300-270-5</t>
  </si>
  <si>
    <t>KA-600-2800-5</t>
  </si>
  <si>
    <t>Merna Letva - Merna dužina 2800mm, 5μm</t>
  </si>
  <si>
    <t>KA-500-320-5</t>
  </si>
  <si>
    <t>Merna Letva - Merna dužina 320mm, 5μm</t>
  </si>
  <si>
    <t>KA-300-320-5</t>
  </si>
  <si>
    <t>KA-300-370-5</t>
  </si>
  <si>
    <t>Merna Letva - Merna dužina 370mm, 5μm</t>
  </si>
  <si>
    <t>KA-500-370-5</t>
  </si>
  <si>
    <t>KA-300-420-5</t>
  </si>
  <si>
    <t>Merna Letva - Merna dužina 420mm, 5μm</t>
  </si>
  <si>
    <t>KA-300-470-5</t>
  </si>
  <si>
    <t>Merna Letva - Merna dužina 470mm, 5μm</t>
  </si>
  <si>
    <t>KA-300-520-5</t>
  </si>
  <si>
    <t>Merna Letva - Merna dužina 520mm, 5μm</t>
  </si>
  <si>
    <t>KA-300-570-5</t>
  </si>
  <si>
    <t>Merna Letva - Merna dužina 570mm, 5μm</t>
  </si>
  <si>
    <t>KA-300-620-5</t>
  </si>
  <si>
    <t>Merna Letva - Merna dužina 620mm, 5μm</t>
  </si>
  <si>
    <t>KA-300-670-5</t>
  </si>
  <si>
    <t>Merna Letva - Merna dužina 670mm, 5μm</t>
  </si>
  <si>
    <t>KA-300-720-5</t>
  </si>
  <si>
    <t>Merna Letva - Merna dužina 720mm, 5μm</t>
  </si>
  <si>
    <t>KA-300-770-5</t>
  </si>
  <si>
    <t>Merna Letva - Merna dužina 770mm, 5μm</t>
  </si>
  <si>
    <t>KA-300-820-5</t>
  </si>
  <si>
    <t>Merna Letva - Merna dužina 820mm, 5μm</t>
  </si>
  <si>
    <t>KA-300-870-5</t>
  </si>
  <si>
    <t>Merna Letva - Merna dužina 870mm, 5μm</t>
  </si>
  <si>
    <t>KA-300-920-5</t>
  </si>
  <si>
    <t>Merna Letva - Merna dužina 920mm, 5μm</t>
  </si>
  <si>
    <t>KA-300-970-5</t>
  </si>
  <si>
    <t>Merna Letva - Merna dužina 970mm, 5μm</t>
  </si>
  <si>
    <t>GV2-M01/RS01</t>
  </si>
  <si>
    <t>Motorna Zaštita - Opseg Podešavanja Struje 0.1–0.16A</t>
  </si>
  <si>
    <t>GV2-M02/RS02</t>
  </si>
  <si>
    <t>Motorna Zaštita - Opseg Podešavanja Struje 0.16–0.25A</t>
  </si>
  <si>
    <t>GV2-M03/RS03</t>
  </si>
  <si>
    <t>Motorna Zaštita - Opseg Podešavanja Struje 0.25–0.40A</t>
  </si>
  <si>
    <t>GV2-M04/RS04</t>
  </si>
  <si>
    <t>Motorna Zaštita - Opseg Podešavanja Struje 0.40–0.63A</t>
  </si>
  <si>
    <t>GV2-M05/RS05</t>
  </si>
  <si>
    <t>Motorna Zaštita - Opseg Podešavanja Struje 0.63–1A</t>
  </si>
  <si>
    <t>GV2-M06/RS06</t>
  </si>
  <si>
    <t>Motorna Zaštita - Opseg Podešavanja Struje 1–1.6A</t>
  </si>
  <si>
    <t>GV2-M07/RS07</t>
  </si>
  <si>
    <t>Motorna Zaštita - Opseg Podešavanja Struje 1.6–2.5A</t>
  </si>
  <si>
    <t>GV2-M20/RS20</t>
  </si>
  <si>
    <t>Motorna Zaštita - Opseg Podešavanja Struje 13–18A</t>
  </si>
  <si>
    <t>GV2-M21/RS21</t>
  </si>
  <si>
    <t>Motorna Zaštita - Opseg Podešavanja Struje 17–23A</t>
  </si>
  <si>
    <t>GV2-M08/RS08</t>
  </si>
  <si>
    <t>Motorna Zaštita - Opseg Podešavanja Struje 2.5–4A</t>
  </si>
  <si>
    <t>GV2-M22/RS22</t>
  </si>
  <si>
    <t>Motorna Zaštita - Opseg Podešavanja Struje 20–25A</t>
  </si>
  <si>
    <t>GV2-M32/RS32</t>
  </si>
  <si>
    <t>Motorna Zaštita - Opseg Podešavanja Struje 24–32A</t>
  </si>
  <si>
    <t>GV2-M10/RS10</t>
  </si>
  <si>
    <t>Motorna Zaštita - Opseg Podešavanja Struje 4–6.3A</t>
  </si>
  <si>
    <t>GV2-M14/RS14</t>
  </si>
  <si>
    <t>Motorna Zaštita - Opseg Podešavanja Struje 6–10A</t>
  </si>
  <si>
    <t>GV2-M16/RS16</t>
  </si>
  <si>
    <t>Motorna Zaštita - Opseg Podešavanja Struje 9–14A</t>
  </si>
  <si>
    <t>GV2-AD1001</t>
  </si>
  <si>
    <t>Pomoćni Kontakt - 1NC + 1NO</t>
  </si>
  <si>
    <t>BS211B</t>
  </si>
  <si>
    <t>Motorni Prekidač - 1.5kW, 3 x NO, IP65</t>
  </si>
  <si>
    <t>BS216B</t>
  </si>
  <si>
    <t>Motorni Prekidač - 2.2kW, 3 x NO, IP65</t>
  </si>
  <si>
    <t>BS230B</t>
  </si>
  <si>
    <t>Motorni Prekidač - 3.7kW, 3 x NO, IP65</t>
  </si>
  <si>
    <t>YDT1-14</t>
  </si>
  <si>
    <t>Nagazna Papuča - 2 x NO+NC sa zajedničkim krajem, Sa zaštitom</t>
  </si>
  <si>
    <t>YDT1-15</t>
  </si>
  <si>
    <t>FS-3</t>
  </si>
  <si>
    <t>Nagazna Papuča - NO+NC sa zajedničkim krajem, Bez zaštite</t>
  </si>
  <si>
    <t>FS-2</t>
  </si>
  <si>
    <t>SFM-5</t>
  </si>
  <si>
    <t>MD-13H</t>
  </si>
  <si>
    <t>Nagazna Papuča - NO+NC sa zajedničkim krajem, Sa zaštitom</t>
  </si>
  <si>
    <t>LT4</t>
  </si>
  <si>
    <t>SFMS-1</t>
  </si>
  <si>
    <t>MS305D</t>
  </si>
  <si>
    <t>Laboratorijsko Napajanje - 0 – 30V, 150W</t>
  </si>
  <si>
    <t>MS3010D</t>
  </si>
  <si>
    <t>Laboratorijsko Napajanje - 0 – 30V, 300W</t>
  </si>
  <si>
    <t>MS605D</t>
  </si>
  <si>
    <t>Laboratorijsko Napajanje - 0 – 60V, 300W</t>
  </si>
  <si>
    <t>EDR-120-12</t>
  </si>
  <si>
    <t>Napajanje za na DIN Šinu - 12V, 120W</t>
  </si>
  <si>
    <t>MDR-20-12</t>
  </si>
  <si>
    <t>Napajanje za na DIN Šinu - 12V, 20W, Rele DC OK</t>
  </si>
  <si>
    <t>BSR-25-12</t>
  </si>
  <si>
    <t>Napajanje za na DIN Šinu - 12V, 25W</t>
  </si>
  <si>
    <t>MDR-40-12</t>
  </si>
  <si>
    <t>Napajanje za na DIN Šinu - 12V, 40W, Rele DC OK</t>
  </si>
  <si>
    <t>MDR-60-12</t>
  </si>
  <si>
    <t>Napajanje za na DIN Šinu - 12V, 60W, Rele DC OK</t>
  </si>
  <si>
    <t>DRL-24V120W1AS</t>
  </si>
  <si>
    <t>Napajanje za na DIN Šinu - 24V, 120W</t>
  </si>
  <si>
    <t>EDR-120-24</t>
  </si>
  <si>
    <t>MDR-20-24</t>
  </si>
  <si>
    <t>Napajanje za na DIN Šinu - 24V, 20W, Rele DC OK</t>
  </si>
  <si>
    <t>DR-240-24</t>
  </si>
  <si>
    <t>Napajanje za na DIN Šinu - 24V, 240W</t>
  </si>
  <si>
    <t>BSR-25-24</t>
  </si>
  <si>
    <t>Napajanje za na DIN Šinu - 24V, 25W</t>
  </si>
  <si>
    <t>DRC-24V30W1AZ</t>
  </si>
  <si>
    <t>Napajanje za na DIN Šinu - 24V, 30W</t>
  </si>
  <si>
    <t>MDR-40-24</t>
  </si>
  <si>
    <t>Napajanje za na DIN Šinu - 24V, 40W, Rele DC OK</t>
  </si>
  <si>
    <t>DRP-024V480W1AA</t>
  </si>
  <si>
    <t>Napajanje za na DIN Šinu - 24V, 480W</t>
  </si>
  <si>
    <t>HDR-60-24</t>
  </si>
  <si>
    <t>Napajanje za na DIN Šinu - 24V, 60W</t>
  </si>
  <si>
    <t>DRC-24V60W1AZ</t>
  </si>
  <si>
    <t>MDR-60-24</t>
  </si>
  <si>
    <t>Napajanje za na DIN Šinu - 24V, 60W, Rele DC OK</t>
  </si>
  <si>
    <t>BSR-25-5</t>
  </si>
  <si>
    <t>Napajanje za na DIN Šinu - 5V, 25W</t>
  </si>
  <si>
    <t>S-360-0-12</t>
  </si>
  <si>
    <t>Napajanje za na Panel - 0 – 12V, 360W</t>
  </si>
  <si>
    <t>S-400-0-24</t>
  </si>
  <si>
    <t>Napajanje za na Panel - 0 – 24V, 400W</t>
  </si>
  <si>
    <t>S-360-0-48</t>
  </si>
  <si>
    <t>Napajanje za na Panel - 0 – 48V, 360W</t>
  </si>
  <si>
    <t>S-S-10-12</t>
  </si>
  <si>
    <t>Napajanje za na Panel - 12V, 10W</t>
  </si>
  <si>
    <t>S-10-12</t>
  </si>
  <si>
    <t>S-120-12</t>
  </si>
  <si>
    <t>Napajanje za na Panel - 12V, 120W</t>
  </si>
  <si>
    <t>S-145-12</t>
  </si>
  <si>
    <t>Napajanje za na Panel - 12V, 145W</t>
  </si>
  <si>
    <t>S-15-12</t>
  </si>
  <si>
    <t>Napajanje za na Panel - 12V, 15W</t>
  </si>
  <si>
    <t>S-200-12</t>
  </si>
  <si>
    <t>Napajanje za na Panel - 12V, 200W</t>
  </si>
  <si>
    <t>S-240-12</t>
  </si>
  <si>
    <t>Napajanje za na Panel - 12V, 240W</t>
  </si>
  <si>
    <t>S-25-12</t>
  </si>
  <si>
    <t>Napajanje za na Panel - 12V, 25W</t>
  </si>
  <si>
    <t>S-320-12</t>
  </si>
  <si>
    <t>Napajanje za na Panel - 12V, 320W</t>
  </si>
  <si>
    <t>S-360-12</t>
  </si>
  <si>
    <t>Napajanje za na Panel - 12V, 360W</t>
  </si>
  <si>
    <t>S-400-12</t>
  </si>
  <si>
    <t>Napajanje za na Panel - 12V, 400W</t>
  </si>
  <si>
    <t>S-500-12</t>
  </si>
  <si>
    <t>Napajanje za na Panel - 12V, 500W</t>
  </si>
  <si>
    <t>SP-500-12</t>
  </si>
  <si>
    <t>S-600-12</t>
  </si>
  <si>
    <t>Napajanje za na Panel - 12V, 600W</t>
  </si>
  <si>
    <t>S-60-12</t>
  </si>
  <si>
    <t>Napajanje za na Panel - 12V, 60W</t>
  </si>
  <si>
    <t>S-120-15</t>
  </si>
  <si>
    <t>Napajanje za na Panel - 15V, 120W</t>
  </si>
  <si>
    <t>S-60-15</t>
  </si>
  <si>
    <t>Napajanje za na Panel - 15V, 60W</t>
  </si>
  <si>
    <t>S-10-24</t>
  </si>
  <si>
    <t>Napajanje za na Panel - 24V, 10W</t>
  </si>
  <si>
    <t>S-S-10-24</t>
  </si>
  <si>
    <t>S-120-24</t>
  </si>
  <si>
    <t>Napajanje za na Panel - 24V, 120W</t>
  </si>
  <si>
    <t>S-145-24</t>
  </si>
  <si>
    <t>Napajanje za na Panel - 24V, 145W</t>
  </si>
  <si>
    <t>S-15-24</t>
  </si>
  <si>
    <t>Napajanje za na Panel - 24V, 15W</t>
  </si>
  <si>
    <t>S-200-24</t>
  </si>
  <si>
    <t>Napajanje za na Panel - 24V, 200W</t>
  </si>
  <si>
    <t>S-240-24</t>
  </si>
  <si>
    <t>Napajanje za na Panel - 24V, 240W</t>
  </si>
  <si>
    <t>S-25-24</t>
  </si>
  <si>
    <t>Napajanje za na Panel - 24V, 25W</t>
  </si>
  <si>
    <t>S-320-24</t>
  </si>
  <si>
    <t>Napajanje za na Panel - 24V, 320W</t>
  </si>
  <si>
    <t>S-360-24</t>
  </si>
  <si>
    <t>Napajanje za na Panel - 24V, 360W</t>
  </si>
  <si>
    <t>S-400-24</t>
  </si>
  <si>
    <t>Napajanje za na Panel - 24V, 400W</t>
  </si>
  <si>
    <t>SP-500-24</t>
  </si>
  <si>
    <t>Napajanje za na Panel - 24V, 500W</t>
  </si>
  <si>
    <t>S-500-24</t>
  </si>
  <si>
    <t>S-50-24</t>
  </si>
  <si>
    <t>Napajanje za na Panel - 24V, 50W</t>
  </si>
  <si>
    <t>S-600-24</t>
  </si>
  <si>
    <t>Napajanje za na Panel - 24V, 600W</t>
  </si>
  <si>
    <t>S-60-24</t>
  </si>
  <si>
    <t>Napajanje za na Panel - 24V, 60W</t>
  </si>
  <si>
    <t>S-75-24</t>
  </si>
  <si>
    <t>Napajanje za na Panel - 24V, 75W</t>
  </si>
  <si>
    <t>S-120-48</t>
  </si>
  <si>
    <t>Napajanje za na Panel - 48V, 120W</t>
  </si>
  <si>
    <t>S-145-48</t>
  </si>
  <si>
    <t>Napajanje za na Panel - 48V, 145W</t>
  </si>
  <si>
    <t>S-150-48</t>
  </si>
  <si>
    <t>Napajanje za na Panel - 48V, 150W</t>
  </si>
  <si>
    <t>S-240-48</t>
  </si>
  <si>
    <t>Napajanje za na Panel - 48V, 240W</t>
  </si>
  <si>
    <t>S-320-48</t>
  </si>
  <si>
    <t>Napajanje za na Panel - 48V, 320W</t>
  </si>
  <si>
    <t>S-360-48</t>
  </si>
  <si>
    <t>Napajanje za na Panel - 48V, 360W</t>
  </si>
  <si>
    <t>S-400-48</t>
  </si>
  <si>
    <t>Napajanje za na Panel - 48V, 400W</t>
  </si>
  <si>
    <t>SP-500-48</t>
  </si>
  <si>
    <t>Napajanje za na Panel - 48V, 500W</t>
  </si>
  <si>
    <t>S-500-48</t>
  </si>
  <si>
    <t>S-600-48</t>
  </si>
  <si>
    <t>Napajanje za na Panel - 48V, 600W</t>
  </si>
  <si>
    <t>S-60-48</t>
  </si>
  <si>
    <t>Napajanje za na Panel - 48V, 60W</t>
  </si>
  <si>
    <t>S-10-5</t>
  </si>
  <si>
    <t>Napajanje za na Panel - 5V, 10W</t>
  </si>
  <si>
    <t>S-S-10-5</t>
  </si>
  <si>
    <t>S-120-5</t>
  </si>
  <si>
    <t>Napajanje za na Panel - 5V, 120W</t>
  </si>
  <si>
    <t>S-15-5</t>
  </si>
  <si>
    <t>Napajanje za na Panel - 5V, 15W</t>
  </si>
  <si>
    <t>S-200-5</t>
  </si>
  <si>
    <t>Napajanje za na Panel - 5V, 200W</t>
  </si>
  <si>
    <t>S-25-5</t>
  </si>
  <si>
    <t>Napajanje za na Panel - 5V, 25W</t>
  </si>
  <si>
    <t>S-300-5</t>
  </si>
  <si>
    <t>Napajanje za na Panel - 5V, 300W</t>
  </si>
  <si>
    <t>S-320-5</t>
  </si>
  <si>
    <t>Napajanje za na Panel - 5V, 320W</t>
  </si>
  <si>
    <t>S-400-5</t>
  </si>
  <si>
    <t>Napajanje za na Panel - 5V, 400W</t>
  </si>
  <si>
    <t>S-40-5</t>
  </si>
  <si>
    <t>Napajanje za na Panel - 5V, 40W</t>
  </si>
  <si>
    <t>S-50-5</t>
  </si>
  <si>
    <t>Napajanje za na Panel - 5V, 50W</t>
  </si>
  <si>
    <t>K-0100-720</t>
  </si>
  <si>
    <t>Podesivo Napajanje za na Panel - 0 – 100V, 720W</t>
  </si>
  <si>
    <t>AD-155A</t>
  </si>
  <si>
    <t>Prekidačko Napajanja sa UPS Funkcijom - 13.8V, 151.55W</t>
  </si>
  <si>
    <t>SP-24-AS</t>
  </si>
  <si>
    <t>Prekidačko Napajanja sa UPS Funkcijom - 24V, 36W</t>
  </si>
  <si>
    <t>SP-24-AL</t>
  </si>
  <si>
    <t>Prekidačko Napajanja sa UPS Funkcijom - 24V, 72W</t>
  </si>
  <si>
    <t>AD-155B</t>
  </si>
  <si>
    <t>Prekidačko Napajanja sa UPS Funkcijom - 27.6V, 151.55W</t>
  </si>
  <si>
    <t>LRS-150-12</t>
  </si>
  <si>
    <t>Prekidačko Napajanje - 12V, 150W</t>
  </si>
  <si>
    <t>LRS-100-24</t>
  </si>
  <si>
    <t>Prekidačko Napajanje - 24V, 100W</t>
  </si>
  <si>
    <t>LRS-150-24</t>
  </si>
  <si>
    <t>Prekidačko Napajanje - 24V, 150W</t>
  </si>
  <si>
    <t>LRS-200-24</t>
  </si>
  <si>
    <t>Prekidačko Napajanje - 24V, 200W</t>
  </si>
  <si>
    <t>LRS-350-24</t>
  </si>
  <si>
    <t>Prekidačko Napajanje - 24V, 350W</t>
  </si>
  <si>
    <t>LRS-35-24</t>
  </si>
  <si>
    <t>Prekidačko Napajanje - 24V, 35W</t>
  </si>
  <si>
    <t>LRS-50-24</t>
  </si>
  <si>
    <t>Prekidačko Napajanje - 24V, 50W</t>
  </si>
  <si>
    <t>LRS-75-24</t>
  </si>
  <si>
    <t>Prekidačko Napajanje - 24V, 75W</t>
  </si>
  <si>
    <t>3645A</t>
  </si>
  <si>
    <t>Programibilno Napajanje - 0 – 36V, 108W</t>
  </si>
  <si>
    <t>WS-120-12</t>
  </si>
  <si>
    <t>Ultra Tanko Napajanje za na Panel - 12V, 120W</t>
  </si>
  <si>
    <t>WS-150-12</t>
  </si>
  <si>
    <t>Ultra Tanko Napajanje za na Panel - 12V, 150W</t>
  </si>
  <si>
    <t>WS-200-12</t>
  </si>
  <si>
    <t>Ultra Tanko Napajanje za na Panel - 12V, 200W</t>
  </si>
  <si>
    <t>WS-25-12</t>
  </si>
  <si>
    <t>Ultra Tanko Napajanje za na Panel - 12V, 25W</t>
  </si>
  <si>
    <t>WS-60-12</t>
  </si>
  <si>
    <t>Ultra Tanko Napajanje za na Panel - 12V, 60W</t>
  </si>
  <si>
    <t>WS-120-24</t>
  </si>
  <si>
    <t>Ultra Tanko Napajanje za na Panel - 24V, 120W</t>
  </si>
  <si>
    <t>WS-150-24</t>
  </si>
  <si>
    <t>Ultra Tanko Napajanje za na Panel - 24V, 150W</t>
  </si>
  <si>
    <t>WS-200-24</t>
  </si>
  <si>
    <t>Ultra Tanko Napajanje za na Panel - 24V, 200W</t>
  </si>
  <si>
    <t>WS-25-24</t>
  </si>
  <si>
    <t>Ultra Tanko Napajanje za na Panel - 24V, 25W</t>
  </si>
  <si>
    <t>WS-60-24</t>
  </si>
  <si>
    <t>Ultra Tanko Napajanje za na Panel - 24V, 60W</t>
  </si>
  <si>
    <t>WS-200-5</t>
  </si>
  <si>
    <t>Ultra Tanko Napajanje za na Panel - 5V, 200W</t>
  </si>
  <si>
    <t>WS-25-5</t>
  </si>
  <si>
    <t>Ultra Tanko Napajanje za na Panel - 5V, 25W</t>
  </si>
  <si>
    <t>WS-50-5</t>
  </si>
  <si>
    <t>Ultra Tanko Napajanje za na Panel - 5V, 50W</t>
  </si>
  <si>
    <t>TGA62-ET</t>
  </si>
  <si>
    <t>Operator Panel - 10.1'', 800x480, Ethernet, 2xUSB, RS232/RS485</t>
  </si>
  <si>
    <t>TGA62-MT</t>
  </si>
  <si>
    <t>Operator Panel - 10.1'', 800x480, USB, RS232/RS485</t>
  </si>
  <si>
    <t>TGC65-ET</t>
  </si>
  <si>
    <t>Operator Panel - 15.6'', 1366x768, Ethernet, 2xUSB, RS232/RS485</t>
  </si>
  <si>
    <t>OP320-A-S</t>
  </si>
  <si>
    <t>Operator Panel - 3.7'', 192x64, RS232/RS485</t>
  </si>
  <si>
    <t>MP330-S</t>
  </si>
  <si>
    <t>MP325-A-S</t>
  </si>
  <si>
    <t>SH-300</t>
  </si>
  <si>
    <t>Operator Panel - 4.3'', 192x64, RS232/RS485/RS422</t>
  </si>
  <si>
    <t>TG465-MT</t>
  </si>
  <si>
    <t>Operator Panel - 4.3'', 480x272, USB, RS232/RS485</t>
  </si>
  <si>
    <t>TG765-UT</t>
  </si>
  <si>
    <t>Operator Panel - 7'', 800x480, 2xUSB, RS232/RS485</t>
  </si>
  <si>
    <t>TG765-ET</t>
  </si>
  <si>
    <t>Operator Panel - 7'', 800x480, Eternet, 2xUSB, RS232/RS485</t>
  </si>
  <si>
    <t>TG765-MT</t>
  </si>
  <si>
    <t>Operator Panel - 7'', 800x480, USB, RS232/RS485</t>
  </si>
  <si>
    <t>MH-06</t>
  </si>
  <si>
    <t>Metalni Nosač za DIN Šinu - DIN Šina 35mm</t>
  </si>
  <si>
    <t>TJ-AG-1520-1</t>
  </si>
  <si>
    <t>Kutija za Elektroniku - ABS, IP66, 150 x 200 x 130mm, sa metalnom montažnom pločom 135 x 189mm</t>
  </si>
  <si>
    <t>TJ-AG-1525-1</t>
  </si>
  <si>
    <t>Kutija za Elektroniku - ABS, IP66, 150 x 250 x 130mm, sa metalnom montažnom pločom 135 x 235mm</t>
  </si>
  <si>
    <t>TJ-AG-2020-1</t>
  </si>
  <si>
    <t>Kutija za Elektroniku - ABS, IP66, 200 x 200 x 130mm, sa metalnom montažnom pločom 180 x 180mm</t>
  </si>
  <si>
    <t>TJ-AG-2819-2</t>
  </si>
  <si>
    <t>Kutija za Elektroniku - ABS, IP66, 280 x 190 x 180mm, sa metalnom montažnom pločom 260 x 160mm</t>
  </si>
  <si>
    <t>TJ-AG-3828-3</t>
  </si>
  <si>
    <t>Kutija za Elektroniku - ABS, IP66, 380 x 280 x 230mm, sa metalnom montažnom pločom 345 x 245mm</t>
  </si>
  <si>
    <t>GV2-MC02</t>
  </si>
  <si>
    <t>Kutija za Motorne Zaštite - Poliester, IP55, 93 x 147 x 84mm/p&gt;&lt;p&gt;Plastična kutija za motorne zaštite</t>
  </si>
  <si>
    <t>BX2W</t>
  </si>
  <si>
    <t>Kutija za Tastere - ABS, IP40, 116 x 72 x 65mm</t>
  </si>
  <si>
    <t>BX2Y</t>
  </si>
  <si>
    <t>BX3Y</t>
  </si>
  <si>
    <t>Kutija za Tastere - ABS, IP40, 150 x 72 x 65mm</t>
  </si>
  <si>
    <t>BX3W</t>
  </si>
  <si>
    <t>BX4Y</t>
  </si>
  <si>
    <t>Kutija za Tastere - ABS, IP40, 195 x 72 x 65mm</t>
  </si>
  <si>
    <t>BX5Y</t>
  </si>
  <si>
    <t>Kutija za Tastere - ABS, IP40, 280 x 72 x 65mm</t>
  </si>
  <si>
    <t>HB5-D02</t>
  </si>
  <si>
    <t>Kutija za Tastere - ABS, IP40, 68 x 106 x 53mm</t>
  </si>
  <si>
    <t>HB5-D03</t>
  </si>
  <si>
    <t>Kutija za Tastere - ABS, IP40, 68 x 136 x 53mm</t>
  </si>
  <si>
    <t>HB5-D01</t>
  </si>
  <si>
    <t>Kutija za Tastere - ABS, IP40, 68 x 68 x 53mm</t>
  </si>
  <si>
    <t>GOB-2A-GW</t>
  </si>
  <si>
    <t>Kutija za Tastere - ABS, IP40, 71 x 130 x 66mm</t>
  </si>
  <si>
    <t>GOB-2A-YW</t>
  </si>
  <si>
    <t>GOB-3A-YW</t>
  </si>
  <si>
    <t>Kutija za Tastere - ABS, IP40, 71 x 170 x 66mm</t>
  </si>
  <si>
    <t>GOB-3A-GW</t>
  </si>
  <si>
    <t>GOB-1A-YW</t>
  </si>
  <si>
    <t>Kutija za Tastere - ABS, IP40, 71 x 76 x 66mm</t>
  </si>
  <si>
    <t>GOB-1A-GW</t>
  </si>
  <si>
    <t>BX1Y</t>
  </si>
  <si>
    <t>Kutija za Tastere - ABS, IP40, 80 x 80 x 65mm</t>
  </si>
  <si>
    <t>TJ-AG 0813-Q2</t>
  </si>
  <si>
    <t>Kutija za Tastere - ABS, IP66, 80 x 130 x 70mm</t>
  </si>
  <si>
    <t>TJ-AG 0818-Q3</t>
  </si>
  <si>
    <t>Kutija za Tastere - ABS, IP66, 80 x 180 x 70mm</t>
  </si>
  <si>
    <t>TJ-AG 0825-Q4</t>
  </si>
  <si>
    <t>Kutija za Tastere - ABS, IP66, 80 x 250 x 70mm</t>
  </si>
  <si>
    <t>TJ-AG 0808-Q1</t>
  </si>
  <si>
    <t>Kutija za Tastere - ABS, IP66, 80 x 80 x 60mm</t>
  </si>
  <si>
    <t>TE-AG-1929</t>
  </si>
  <si>
    <t>Orman za Elektroniku - ABS, IP66, 190 x 290 x 140mm</t>
  </si>
  <si>
    <t>TJ-MG-3040</t>
  </si>
  <si>
    <t>Orman za Elektroniku - ABS, IP66, 300 x 400 x 180mm</t>
  </si>
  <si>
    <t>TE-AG-2535</t>
  </si>
  <si>
    <t>Orman za Elektroniku - ABS, IP66, 350 x 250 x 180mm</t>
  </si>
  <si>
    <t>TE-AT-2535</t>
  </si>
  <si>
    <t>TJ-MG-4050</t>
  </si>
  <si>
    <t>Orman za Elektroniku - ABS, IP66, 400 x 500 x 200mm</t>
  </si>
  <si>
    <t>STDD10 630</t>
  </si>
  <si>
    <t>Orman za Elektroniku - Čelik, IP55, 1000 x 600 x 300mm</t>
  </si>
  <si>
    <t>ST2 2515</t>
  </si>
  <si>
    <t>Orman za Elektroniku - Čelik, IP66, 200 x 250 x 150mm</t>
  </si>
  <si>
    <t>ST2 315</t>
  </si>
  <si>
    <t>Orman za Elektroniku - Čelik, IP66, 200 x 300 x 150mm</t>
  </si>
  <si>
    <t>ST25 315</t>
  </si>
  <si>
    <t>Orman za Elektroniku - Čelik, IP66, 250 x 300 x 150mm</t>
  </si>
  <si>
    <t>ST25 320</t>
  </si>
  <si>
    <t>Orman za Elektroniku - Čelik, IP66, 250 x 300 x 200mm</t>
  </si>
  <si>
    <t>ST3 420</t>
  </si>
  <si>
    <t>Orman za Elektroniku - Čelik, IP66, 300 x 400 x 200mm</t>
  </si>
  <si>
    <t>ST3 425</t>
  </si>
  <si>
    <t>Orman za Elektroniku - Čelik, IP66, 300 x 400 x 250mm</t>
  </si>
  <si>
    <t>ST4 315</t>
  </si>
  <si>
    <t>Orman za Elektroniku - Čelik, IP66, 400 x 300 x 150mm</t>
  </si>
  <si>
    <t>STIP4 420</t>
  </si>
  <si>
    <t>Orman za Elektroniku - Čelik, IP66, 400 x 400 x 200mm</t>
  </si>
  <si>
    <t>ST4 420</t>
  </si>
  <si>
    <t>ST4 425</t>
  </si>
  <si>
    <t>Orman za Elektroniku - Čelik, IP66, 400 x 400 x 250mm</t>
  </si>
  <si>
    <t>ST4 520</t>
  </si>
  <si>
    <t>Orman za Elektroniku - Čelik, IP66, 400 x 500 x 200mm</t>
  </si>
  <si>
    <t>STIP4 620</t>
  </si>
  <si>
    <t>Orman za Elektroniku - Čelik, IP66, 400 x 600 x 200mm</t>
  </si>
  <si>
    <t>ST4 620</t>
  </si>
  <si>
    <t>ST4 625</t>
  </si>
  <si>
    <t>Orman za Elektroniku - Čelik, IP66, 400 x 600 x 250mm</t>
  </si>
  <si>
    <t>ST6 630</t>
  </si>
  <si>
    <t>Orman za Elektroniku - Čelik, IP66, 600 x 600 x 300mm</t>
  </si>
  <si>
    <t>ST6 820</t>
  </si>
  <si>
    <t>Orman za Elektroniku - Čelik, IP66, 600 x 800 x 200mm</t>
  </si>
  <si>
    <t>ST6 830</t>
  </si>
  <si>
    <t>Orman za Elektroniku - Čelik, IP66, 600 x 800 x 300mm</t>
  </si>
  <si>
    <t>STXIP4 420</t>
  </si>
  <si>
    <t>Orman za Elektroniku - Nerđajući Čelik, IP66, 400 x 400 x 200mm</t>
  </si>
  <si>
    <t>STXIP4 520</t>
  </si>
  <si>
    <t>Orman za Elektroniku - Nerđajući Čelik, IP66, 400 x 500 x 200mm</t>
  </si>
  <si>
    <t>STX6 625</t>
  </si>
  <si>
    <t>Orman za Elektroniku - Nerđajući Čelik, IP66, 600 x 600 x 250mm</t>
  </si>
  <si>
    <t>STX6 825</t>
  </si>
  <si>
    <t>Orman za Elektroniku - Nerđajući Čelik, IP66, 600 x 800 x 250mm</t>
  </si>
  <si>
    <t>TIP-430</t>
  </si>
  <si>
    <t>Orman za Elektroniku - Polyester, IP65, 300 x 400 x 200mm</t>
  </si>
  <si>
    <t>TIP-440</t>
  </si>
  <si>
    <t>Orman za Elektroniku - Polyester, IP65, 400 x 400 x 200mm</t>
  </si>
  <si>
    <t>TIP-640</t>
  </si>
  <si>
    <t>Orman za Elektroniku - Polyester, IP65, 400 x 600 x 230mm</t>
  </si>
  <si>
    <t>TX-64</t>
  </si>
  <si>
    <t>TX-86</t>
  </si>
  <si>
    <t>Orman za Elektroniku - Polyester, IP65, 600 x 800 x 300mm</t>
  </si>
  <si>
    <t>PK-1010</t>
  </si>
  <si>
    <t>Razvodna Kutija - ABS, IP55, 100 x 100 x 70mm</t>
  </si>
  <si>
    <t>PK-1511</t>
  </si>
  <si>
    <t>Razvodna Kutija - ABS, IP55, 150 x 110 x 70mm</t>
  </si>
  <si>
    <t>PK-1515</t>
  </si>
  <si>
    <t>Razvodna Kutija - ABS, IP55, 150 x 150 x 70mm</t>
  </si>
  <si>
    <t>TB-AGR-1924-1</t>
  </si>
  <si>
    <t>Razvodna Kutija - ABS, IP55, 190 x 240 x 160mm</t>
  </si>
  <si>
    <t>PK-2011</t>
  </si>
  <si>
    <t>Razvodna Kutija - ABS, IP55, 200 x 100 x 110mm</t>
  </si>
  <si>
    <t>PK-2010</t>
  </si>
  <si>
    <t>Razvodna Kutija - ABS, IP55, 200 x 100 x 70mm</t>
  </si>
  <si>
    <t>PK-2015</t>
  </si>
  <si>
    <t>Razvodna Kutija - ABS, IP55, 200 x 155 x 80mm</t>
  </si>
  <si>
    <t>PK-2020</t>
  </si>
  <si>
    <t>Razvodna Kutija - ABS, IP55, 200 x 200 x 80mm</t>
  </si>
  <si>
    <t>PK-2520</t>
  </si>
  <si>
    <t>Razvodna Kutija - ABS, IP55, 255 x 200 x 80mm</t>
  </si>
  <si>
    <t>TB-AGR-3038</t>
  </si>
  <si>
    <t>Razvodna Kutija - ABS, IP55, 300 x 380 x 120mm</t>
  </si>
  <si>
    <t>AVG-M20</t>
  </si>
  <si>
    <t>Čep za Vazdušni Otvor - M20, IP66, Nepropustan za vodu i prašinu</t>
  </si>
  <si>
    <t>MS407</t>
  </si>
  <si>
    <t>Metalna Brava sa Ključem - Za sve tipove elekto ormana</t>
  </si>
  <si>
    <t>TJ-2535</t>
  </si>
  <si>
    <t>Montažna Ploča za Orman - Metalna montažna ploča za TE-A(T)G-2535</t>
  </si>
  <si>
    <t>TI-43</t>
  </si>
  <si>
    <t>Montažna Ploča za Orman - Metalna montažna ploča za TIP-430</t>
  </si>
  <si>
    <t>TI-44</t>
  </si>
  <si>
    <t>Montažna Ploča za Orman - Metalna montažna ploča za TIP-440</t>
  </si>
  <si>
    <t>TI-64</t>
  </si>
  <si>
    <t>Montažna Ploča za Orman - Metalna montažna ploča za TIP-640</t>
  </si>
  <si>
    <t>TJ-3040</t>
  </si>
  <si>
    <t>Montažna Ploča za Orman - Metalna montažna ploča za TJ-MG-3040</t>
  </si>
  <si>
    <t>TJ-4050</t>
  </si>
  <si>
    <t>Montažna Ploča za Orman - Metalna montažna ploča za TJ-MG-4050</t>
  </si>
  <si>
    <t>TJ-1929P</t>
  </si>
  <si>
    <t>Montažna Ploča za Orman - Plastična montažna ploča za TE-AG-1929</t>
  </si>
  <si>
    <t>WS02</t>
  </si>
  <si>
    <t>Nosač za DIN Šinu - Ovaj nosač se može koristiti za montažu na DIN šinu</t>
  </si>
  <si>
    <t>WL02</t>
  </si>
  <si>
    <t>Nosač za DIN Šinu - Ovaj nosač se može koristiti za montažu pod 45° na DIN šinu</t>
  </si>
  <si>
    <t>BC-V60</t>
  </si>
  <si>
    <t>Poklopac Filtera za Vazduh - Dizajniran da spreči prodor kiše u unutrašnjost ormana.</t>
  </si>
  <si>
    <t>WC001</t>
  </si>
  <si>
    <t>Šina za Vrata Ormana - Šina za vrata električnih ormana od 300mm</t>
  </si>
  <si>
    <t>WC002</t>
  </si>
  <si>
    <t>Šina za Vrata Ormana - Šina za vrata električnih ormana od 400mm</t>
  </si>
  <si>
    <t>WC003</t>
  </si>
  <si>
    <t>Šina za Vrata Ormana - Šina za vrata električnih ormana od 500mm</t>
  </si>
  <si>
    <t>WA060</t>
  </si>
  <si>
    <t>Stoper za Vrata - Za elekto ormane da drži vrata otvorena pod 90° i spreči slučajno zatvaranje</t>
  </si>
  <si>
    <t>GP-B</t>
  </si>
  <si>
    <t>Ventilaciona Ploča - Komplet sadrži jednu ploču, materijal za fiksiranje i zaptivač</t>
  </si>
  <si>
    <t>GP-C</t>
  </si>
  <si>
    <t>WP001</t>
  </si>
  <si>
    <t>Vodootporna Zaštita za Bravu - Za MS407 metalnu bravu sa ključem</t>
  </si>
  <si>
    <t>WC-010</t>
  </si>
  <si>
    <t>Zidni Nosač - Zidni nosač od čelika za STIP seriju ormana</t>
  </si>
  <si>
    <t>WCX-010</t>
  </si>
  <si>
    <t>Zidni Nosač - Zidni nosač od nerđajućeg čelika za STX seriju ormana</t>
  </si>
  <si>
    <t>SSR-F-25A</t>
  </si>
  <si>
    <t>Osigurač - 25A, 500V, 10mmx38mm</t>
  </si>
  <si>
    <t>SSR-F-32A</t>
  </si>
  <si>
    <t>Osigurač - 32A, 500V, 10mmx38mm</t>
  </si>
  <si>
    <t>AM-HN-722 100/5A AC</t>
  </si>
  <si>
    <t>Analogni Panelmetar - AC Ampermetar 0 - 100/5A, Ulaz Preko Strujnog Transformatora, Sa Crvenom Alarmnom Skalom</t>
  </si>
  <si>
    <t>SE-48 10A AC</t>
  </si>
  <si>
    <t>Analogni Panelmetar - AC Ampermetar 0 - 10A, Direktni Ulaz</t>
  </si>
  <si>
    <t>AM-HN-72 10A AC</t>
  </si>
  <si>
    <t>APM-S48AA 10A AC</t>
  </si>
  <si>
    <t>AM-HN-722 10A AC</t>
  </si>
  <si>
    <t>Analogni Panelmetar - AC Ampermetar 0 - 10A, Direktni Ulaz, Sa Crvenom Alarmnom Skalom</t>
  </si>
  <si>
    <t>SE-48 20A AC</t>
  </si>
  <si>
    <t>Analogni Panelmetar - AC Ampermetar 0 - 20A, Direktni Ulaz</t>
  </si>
  <si>
    <t>AM-HN-72 20A AC</t>
  </si>
  <si>
    <t>APM-S48AA 20A AC</t>
  </si>
  <si>
    <t>AM-HN-722 20A AC</t>
  </si>
  <si>
    <t>Analogni Panelmetar - AC Ampermetar 0 - 20A, Direktni Ulaz, Sa Crvenom Alarmnom Skalom</t>
  </si>
  <si>
    <t>AM-HN-722 250/5A AC</t>
  </si>
  <si>
    <t>Analogni Panelmetar - AC Ampermetar 0 - 250/5A, Ulaz Preko Strujnog Transformatora, Sa Crvenom Alarmnom Skalom</t>
  </si>
  <si>
    <t>SE-48 30/5A AC</t>
  </si>
  <si>
    <t>Analogni Panelmetar - AC Ampermetar 0 - 30/5A, Ulaz Preko Strujnog Transformatora</t>
  </si>
  <si>
    <t>AM-HN-722 30/5A AC</t>
  </si>
  <si>
    <t>Analogni Panelmetar - AC Ampermetar 0 - 30/5A, Ulaz Preko Strujnog Transformatora, Sa Crvenom Alarmnom Skalom</t>
  </si>
  <si>
    <t>APM-S48AA 30A AC</t>
  </si>
  <si>
    <t>Analogni Panelmetar - AC Ampermetar 0 - 30A, Direktni Ulaz</t>
  </si>
  <si>
    <t>AM-HN-72 30A AC</t>
  </si>
  <si>
    <t>AM-HN-722 30A AC</t>
  </si>
  <si>
    <t>Analogni Panelmetar - AC Ampermetar 0 - 30A, Direktni Ulaz, Sa Crvenom Alarmnom Skalom</t>
  </si>
  <si>
    <t>SE-48 40/5A AC</t>
  </si>
  <si>
    <t>Analogni Panelmetar - AC Ampermetar 0 - 40/5A, Ulaz Preko Strujnog Transformatora</t>
  </si>
  <si>
    <t>APM-S48AA 40A AC</t>
  </si>
  <si>
    <t>Analogni Panelmetar - AC Ampermetar 0 - 40A, Direktni Ulaz</t>
  </si>
  <si>
    <t>AM-HN-72 40A AC</t>
  </si>
  <si>
    <t>AM-HN-722 40A AC</t>
  </si>
  <si>
    <t>Analogni Panelmetar - AC Ampermetar 0 - 40A, Direktni Ulaz, Sa Crvenom Alarmnom Skalom</t>
  </si>
  <si>
    <t>SE-48 50/5A AC</t>
  </si>
  <si>
    <t>Analogni Panelmetar - AC Ampermetar 0 - 50/5A, Ulaz Preko Strujnog Transformatora</t>
  </si>
  <si>
    <t>AM-HN-722 50/5A AC</t>
  </si>
  <si>
    <t>Analogni Panelmetar - AC Ampermetar 0 - 50/5A, Ulaz Preko Strujnog Transformatora, Sa Crvenom Alarmnom Skalom</t>
  </si>
  <si>
    <t>APM-S48AA 50A AC</t>
  </si>
  <si>
    <t>Analogni Panelmetar - AC Ampermetar 0 - 50A, Direktni Ulaz</t>
  </si>
  <si>
    <t>AM-HN-72 50A AC</t>
  </si>
  <si>
    <t>AM-HN-722 50A AC</t>
  </si>
  <si>
    <t>Analogni Panelmetar - AC Ampermetar 0 - 50A, Direktni Ulaz, Sa Crvenom Alarmnom Skalom</t>
  </si>
  <si>
    <t>APM-S48AA 5A AC</t>
  </si>
  <si>
    <t>Analogni Panelmetar - AC Ampermetar 0 - 5A, Direktni Ulaz</t>
  </si>
  <si>
    <t>SE-48 5A AC</t>
  </si>
  <si>
    <t>AM-HN-72 5A AC</t>
  </si>
  <si>
    <t>AM-HN-722 5A AC</t>
  </si>
  <si>
    <t>Analogni Panelmetar - AC Ampermetar 0 - 5A, Direktni Ulaz, Sa Crvenom Alarmnom Skalom</t>
  </si>
  <si>
    <t>APM-S48AV 300V AC</t>
  </si>
  <si>
    <t>Analogni Panelmetar - AC Voltmetar 0 - 300V, Direktni Ulaz</t>
  </si>
  <si>
    <t>APM-S48AV 500V AC</t>
  </si>
  <si>
    <t>Analogni Panelmetar - AC Voltmetar 0 - 500V, Direktni Ulaz</t>
  </si>
  <si>
    <t>SE-48 500V AC</t>
  </si>
  <si>
    <t>AM-HN-72 600V AC</t>
  </si>
  <si>
    <t>Analogni Panelmetar - AC Voltmetar 0 - 600V, Direktni Ulaz</t>
  </si>
  <si>
    <t>APM-S48AV 60V AC</t>
  </si>
  <si>
    <t>Analogni Panelmetar - AC Voltmetar 0 - 60V, Direktni Ulaz</t>
  </si>
  <si>
    <t>APM-S48DA 10A DC</t>
  </si>
  <si>
    <t>Analogni Panelmetar - DC Ampermetar 0 - 10A, Direktni Ulaz</t>
  </si>
  <si>
    <t>APM-S48DA 20A DC</t>
  </si>
  <si>
    <t>Analogni Panelmetar - DC Ampermetar 0 - 20A, Ulaz Preko Šent Otpornika 75mV</t>
  </si>
  <si>
    <t>APM-S48DA 20mA DC</t>
  </si>
  <si>
    <t>Analogni Panelmetar - DC Ampermetar 0 - 20mA, Direktni Ulaz</t>
  </si>
  <si>
    <t>APM-S48DA 50A DC</t>
  </si>
  <si>
    <t>Analogni Panelmetar - DC Ampermetar 0 - 50A, Ulaz Preko Šent Otpornika 75mV</t>
  </si>
  <si>
    <t>HN-48 10A DC</t>
  </si>
  <si>
    <t>Analogni Panelmetar - DC Ampermetar 0 – 10ADC, Ulaz Preko Šent Otpornika 75mV</t>
  </si>
  <si>
    <t>HN-48 20A DC</t>
  </si>
  <si>
    <t>Analogni Panelmetar - DC Ampermetar 0 – 20ADC, Ulaz Preko Šent Otpornika 75mV</t>
  </si>
  <si>
    <t>HN-48 50A DC</t>
  </si>
  <si>
    <t>Analogni Panelmetar - DC Ampermetar 0 – 50ADC, Ulaz Preko Šent Otpornika 75mV</t>
  </si>
  <si>
    <t>APM-S48DV 10V DC</t>
  </si>
  <si>
    <t>Analogni Panelmetar - DC Voltmetar 0 - 10V, Direktni Ulaz</t>
  </si>
  <si>
    <t>APM-S48DV 300V DC</t>
  </si>
  <si>
    <t>Analogni Panelmetar - DC Voltmetar 0 - 300V, Direktni Ulaz</t>
  </si>
  <si>
    <t>APM-S48DV 60V DC</t>
  </si>
  <si>
    <t>Analogni Panelmetar - DC Voltmetar 0 - 60V, Direktni Ulaz</t>
  </si>
  <si>
    <t>HN-72 300V DC</t>
  </si>
  <si>
    <t>Analogni Panelmetar - DC Voltmetar 0 – 300VDC, Direktni Ulaz</t>
  </si>
  <si>
    <t>HN-48 30VDC</t>
  </si>
  <si>
    <t>Analogni Panelmetar - DC Voltmetar 0 – 30VDC, Direktni Ulaz</t>
  </si>
  <si>
    <t>HN-72 30V DC</t>
  </si>
  <si>
    <t>DS5320</t>
  </si>
  <si>
    <t>Digitalni 3 x Amper/Volt i Hertz Metar - Ulaz 380V / 5A AC, 5 x 4 cifre, 220VAC</t>
  </si>
  <si>
    <t>DS5210-UIF</t>
  </si>
  <si>
    <t>Digitalni Amper/Volt i Hertz Metar - Ulaz 380V / 5A AC, 3 x 4 cifre, 220VAC</t>
  </si>
  <si>
    <t>DS5220-I</t>
  </si>
  <si>
    <t>Digitalni Ampermetar - Ulaz 0 – 5A AC, 4 cifre, 220VAC</t>
  </si>
  <si>
    <t>DS5240-I</t>
  </si>
  <si>
    <t>DS5240-F</t>
  </si>
  <si>
    <t>Digitalni Frekvencmetar - Ulaz 45 – 65Hz, 4 cifre, 220VAC</t>
  </si>
  <si>
    <t>DS5220-F</t>
  </si>
  <si>
    <t>T80</t>
  </si>
  <si>
    <t>Digitalni LED Bar Panelmetar - Ulaz TC, RTD, 4-20mA, 0-50mV, 0-10V, 0-400Ω, Izlaz 4 x Rele Alarm, 220VAC</t>
  </si>
  <si>
    <t>DHC6P-AA</t>
  </si>
  <si>
    <t>Digitalni Panelmetar - AC Ampermetar ≤ 5A, 100–240V AC/DC</t>
  </si>
  <si>
    <t>DHC6PS-AA</t>
  </si>
  <si>
    <t>Digitalni Panelmetar - AC Ampermetar ≤ 5A, Izlaz 2 x Rele Alarm, 100–240V AC/DC</t>
  </si>
  <si>
    <t>D69-40 5A AC</t>
  </si>
  <si>
    <t>Digitalni Panelmetar - AC Ampermetar, Ulaz ≤ 5A, 8 – 12VDC</t>
  </si>
  <si>
    <t>D69-22 500VAC</t>
  </si>
  <si>
    <t>Digitalni Panelmetar - AC Voltmetar 0 – 500V, 8 – 12VDC</t>
  </si>
  <si>
    <t>DHC6P-AV</t>
  </si>
  <si>
    <t>Digitalni Panelmetar - AC Voltmetar 19.99V/199.9V/600V, 100–240V AC/DC</t>
  </si>
  <si>
    <t>D69-20 80-500VAC</t>
  </si>
  <si>
    <t>Digitalni Panelmetar - AC Voltmetar 80 – 500V, Napajanje sa Ulaznog Napona</t>
  </si>
  <si>
    <t>DL8A-RC10A1000</t>
  </si>
  <si>
    <t>Digitalni Panelmetar - AC/DC Ampermetar 0 – 5A AC / 0 – 75mV DC, Izlaz 2 x Rele Alarm, 220V AC/DC</t>
  </si>
  <si>
    <t>DL8A-DC10A1000</t>
  </si>
  <si>
    <t>Digitalni Panelmetar - AC/DC Ampermetar 0 – 5A AC / 0 – 75mV DC, Izlaz 4-20mA i 2 x Rele Alarm, 220V AC/DC</t>
  </si>
  <si>
    <t>DL8A-DC18A1000</t>
  </si>
  <si>
    <t>Digitalni Panelmetar - AC/DC Ampermetar 0 – 5A AC / 0 – 75mV DC, Izlaz 4-20mA i 2 x Rele Alarm, RS485, 220V AC/DC</t>
  </si>
  <si>
    <t>DL8-RC10V600</t>
  </si>
  <si>
    <t>Digitalni Panelmetar - AC/DC Voltmetar 0 – 10V/100V/600V, Izlaz 2 x Rele Alarm, 220V AC/DC</t>
  </si>
  <si>
    <t>DL8-DC10V600</t>
  </si>
  <si>
    <t>Digitalni Panelmetar - AC/DC Voltmetar 0 – 10V/100V/600V, Izlaz 4-20mA i 2 x Rele Alarm, 220V AC/DC</t>
  </si>
  <si>
    <t>DL8-DC18V600</t>
  </si>
  <si>
    <t>Digitalni Panelmetar - AC/DC Voltmetar 0 – 10V/100V/600V, Izlaz 4-20mA i 2 x Rele Alarm, RS485, 220V AC/DC</t>
  </si>
  <si>
    <t>D69-50 19.99mADC</t>
  </si>
  <si>
    <t>Digitalni Panelmetar - DC Ampermetar, Ulaz ≤ 19.99mA, 8 – 12VDC</t>
  </si>
  <si>
    <t>DX3-DA0.02</t>
  </si>
  <si>
    <t>Digitalni Panelmetar - DC Ampermetar, Ulaz ≤ 20mA, 110–220VAC</t>
  </si>
  <si>
    <t>DX3D-DA0.02</t>
  </si>
  <si>
    <t>Digitalni Panelmetar - DC Ampermetar, Ulaz ≤ 20mA, 12–30V AC/DC</t>
  </si>
  <si>
    <t>DX2D-DA0.02</t>
  </si>
  <si>
    <t>DHC6P-DA</t>
  </si>
  <si>
    <t>Digitalni Panelmetar - DC Ampermetar, Ulaz 75mV sa Šenta, 100–240V AC/DC</t>
  </si>
  <si>
    <t>D69-30 19.99VDC</t>
  </si>
  <si>
    <t>Digitalni Panelmetar - DC Voltmetar 0 – 19.99V, 8 – 12VDC</t>
  </si>
  <si>
    <t>D69-30 199.9mVDC</t>
  </si>
  <si>
    <t>Digitalni Panelmetar - DC Voltmetar 0 – 199.9mV, 8 – 12VDC</t>
  </si>
  <si>
    <t>DX3-DV20</t>
  </si>
  <si>
    <t>Digitalni Panelmetar - DC Voltmetar 0 – 20V, 220VAC</t>
  </si>
  <si>
    <t>DHC6P-DV</t>
  </si>
  <si>
    <t>Digitalni Panelmetar - DC Voltmetar 19.99V/199.9V/600V, 100–240V AC/DC</t>
  </si>
  <si>
    <t>DX2F-DV20</t>
  </si>
  <si>
    <t>Digitalni Panelmetar - DC Voltmetar, Ulaz ≤ 20V, 24VDC</t>
  </si>
  <si>
    <t>DM4A-FR1</t>
  </si>
  <si>
    <t>Digitalni Panelmetar - Frekvenc / Taho / Brojač, Ulaz 5–25V / 0.1Hz–10kHz, 5VDC</t>
  </si>
  <si>
    <t>FA8-RB10</t>
  </si>
  <si>
    <t>Digitalni Panelmetar - Frekvenc / Taho Metar, Ulaz 5–30VDC / 1Hz–5000Hz / 6–9999rpm, Izlaz Rele Alarm 3A, 220VAC</t>
  </si>
  <si>
    <t>FA8-RB10H</t>
  </si>
  <si>
    <t>Digitalni Panelmetar - Frekvenc / Taho Metar, Ulaz 60–450VAC / 0.1Hz–1000Hz, Izlaz Rele Alarm 3A, 220VAC</t>
  </si>
  <si>
    <t>DP4-FR1</t>
  </si>
  <si>
    <t>Digitalni Panelmetar - Frekvencija / Taho / Linijska Brzina, Ulaz 3–30V / 1Hz–5kHz, 110–220VAC</t>
  </si>
  <si>
    <t>DHC6W-J400</t>
  </si>
  <si>
    <t>Digitalni Panelmetar - Termometar, Ulaz J Sonda, 0 – 400°C, 100–240V AC/DC</t>
  </si>
  <si>
    <t>DHC6WS-J400</t>
  </si>
  <si>
    <t>Digitalni Panelmetar - Termometar, Ulaz J Sonda, 0 – 400°C, Izlaz 2 x Rele Alarm 3A, 100–240V AC/DC</t>
  </si>
  <si>
    <t>DHC6W-K400</t>
  </si>
  <si>
    <t>Digitalni Panelmetar - Termometar, Ulaz K Sonda, 0 – 400°C, 100–240V AC/DC</t>
  </si>
  <si>
    <t>DHC6WS-K400</t>
  </si>
  <si>
    <t>Digitalni Panelmetar - Termometar, Ulaz K Sonda, 0 – 400°C, Izlaz 2 x Rele Alarm 3A, 100–240V AC/DC</t>
  </si>
  <si>
    <t>DHC6WS-PT400</t>
  </si>
  <si>
    <t>Digitalni Panelmetar - Termometar, Ulaz PT100 Sonda, 0 – 400°C, Izlaz 2 x Rele Alarm 3A, 100–240V AC/DC</t>
  </si>
  <si>
    <t>DHC6WS-PT100</t>
  </si>
  <si>
    <t>Digitalni Panelmetar - Termometar, Ulaz PT100 Sonda, 0 – 99,9°C, Izlaz 2 x Rele Alarm 3A, 100–240V AC/DC</t>
  </si>
  <si>
    <t>DHC6W-PT400</t>
  </si>
  <si>
    <t>Digitalni Panelmetar - Termometar, Ulaz PT100, 0 – 400°C, 100–240V AC/DC</t>
  </si>
  <si>
    <t>DHC6W-PT100</t>
  </si>
  <si>
    <t>Digitalni Panelmetar - Termometar, Ulaz PT100, 0 – 99,9°C, 100–240V AC/DC</t>
  </si>
  <si>
    <t>ST8F-A10</t>
  </si>
  <si>
    <t>Digitalni Panelmetar - Termometar, Ulaz TC / RTD, 24VDC</t>
  </si>
  <si>
    <t>SD8-RC10B-T</t>
  </si>
  <si>
    <t>Digitalni Panelmetar - Termometar, Ulaz TC / RTD, Izlaz 2 x Alarmni Rele, 220VAC</t>
  </si>
  <si>
    <t>DHC6P-SVA1</t>
  </si>
  <si>
    <t>Digitalni Panelmetar - Ulaz 0 – 10VDC i 4 – 20mA, 110–240V AC/DC</t>
  </si>
  <si>
    <t>DHC6P-SVR</t>
  </si>
  <si>
    <t>Digitalni Panelmetar - Ulaz 0 – 10VDC i 4 – 20mA, Izlaz 2 x Rele Alarm, 110–240V AC/DC</t>
  </si>
  <si>
    <t>SD8-RC10B</t>
  </si>
  <si>
    <t>Digitalni Panelmetar - Ulaz 0 – 10VDC ili 4 – 20mA, 2 x Rele Alarm, 220VAC</t>
  </si>
  <si>
    <t>DHC6P-Z</t>
  </si>
  <si>
    <t>Digitalni Panelmetar - Ulaz 0 – 10VDC, 110–240V AC/DC</t>
  </si>
  <si>
    <t>DVC1PB-VA</t>
  </si>
  <si>
    <t>Digitalni Panelmetar - Ulaz 10 – 600VAC i 1.0 – 99.9AAC, 12VDC</t>
  </si>
  <si>
    <t>SV8F-DC10</t>
  </si>
  <si>
    <t>Digitalni Panelmetar - Ulaz 4-20mA, 0-50mV, 0-10V, 0-400Ω, Izlaz 4-20mA i 2 x Rele Alarm, 24VDC</t>
  </si>
  <si>
    <t>SV8-DC10</t>
  </si>
  <si>
    <t>Digitalni Panelmetar - Ulaz 4-20mA, 0-50mV, 0-10V, 0-400Ω, Izlaz 4-20mA i 2 x Rele Alarm, 85–265V AC/DC</t>
  </si>
  <si>
    <t>SV8-DC18</t>
  </si>
  <si>
    <t>Digitalni Panelmetar - Ulaz 4-20mA, 0-50mV, 0-10V, 0-400Ω, Izlaz 4-20mA i 2 x Rele Alarm, RS485, 85–265V AC/DC</t>
  </si>
  <si>
    <t>HN-120SX</t>
  </si>
  <si>
    <t>Digitalni Panelmetar - Ulaz 4-20mA, 3 cifre, 220VAC</t>
  </si>
  <si>
    <t>SV8-RC10W</t>
  </si>
  <si>
    <t>Digitalni Panelmetar - Ulaz TC, RTD, 4-20mA, 0-50mV, 0-10V, 0-400Ω, Izlaz 2 x Rele Alarm, 100–240V AC/DC</t>
  </si>
  <si>
    <t>SV8-DC10W</t>
  </si>
  <si>
    <t>Digitalni Panelmetar - Ulaz TC, RTD, 4-20mA, 0-50mV, 0-10V, 0-400Ω, Izlaz 4-20mA i 2 x Rele Alarm, 100–240V AC/DC</t>
  </si>
  <si>
    <t>SV8F-DC10W</t>
  </si>
  <si>
    <t>Digitalni Panelmetar - Ulaz TC, RTD, 4-20mA, 0-50mV, 0-10V, 0-400Ω, Izlaz 4-20mA i 2 x Rele Alarm, 24VDC</t>
  </si>
  <si>
    <t>SV8F-DC18W</t>
  </si>
  <si>
    <t>Digitalni Panelmetar - Ulaz TC, RTD, 4-20mA, 0-50mV, 0-10V, 0-400Ω, Izlaz 4-20mA i 2 x Rele Alarm, RS485, 24VDC</t>
  </si>
  <si>
    <t>DS5230-P</t>
  </si>
  <si>
    <t>Digitalni Vatmetar - Ulaz 500V / 5A AC, 4 cifre, 220VAC</t>
  </si>
  <si>
    <t>DS5240-U</t>
  </si>
  <si>
    <t>Digitalni Voltmetar - Ulaz 0 – 500VAC, 4 cifre, 220VAC</t>
  </si>
  <si>
    <t>DS5220-U</t>
  </si>
  <si>
    <t>AM-HN-72 220VAC Frekvencmetar</t>
  </si>
  <si>
    <t>Frekvencmetar Analogni Panelmetar - 45 - 55Hz 220VAC, Direktni Ulaz</t>
  </si>
  <si>
    <t>AM-HN-72 380VAC Frekvencmetar</t>
  </si>
  <si>
    <t>Frekvencmetar Analogni Panelmetar - 45 - 55Hz 380VAC, Direktni Ulaz</t>
  </si>
  <si>
    <t>AD22-22A 60A Crveni</t>
  </si>
  <si>
    <t>Mini Digitalni Ampermetar - Φ22mm, Crveni, 1 – 60A, Napajanje 220VAC</t>
  </si>
  <si>
    <t>AD22-22A 60A Zeleni</t>
  </si>
  <si>
    <t>Mini Digitalni Ampermetar - Φ22mm, Zeleni, 1 – 60A, Napajanje 220VAC</t>
  </si>
  <si>
    <t>AD22-22A 60A Žuti</t>
  </si>
  <si>
    <t>Mini Digitalni Ampermetar - Φ22mm, Žuti, 1 – 60A, Napajanje 220VAC</t>
  </si>
  <si>
    <t>AD16-22 Mini Panel Voltmetar Crveni</t>
  </si>
  <si>
    <t>Mini Digitalni Panel Voltmetar - Φ22mm, Crveni, IP65, AC Voltmetar 50 – 600V, Napajanje sa Ulaznog Napona</t>
  </si>
  <si>
    <t>AD16-22 Mini Panel Voltmetar Zeleni</t>
  </si>
  <si>
    <t>Mini Digitalni Panel Voltmetar - Φ22mm, Zeleni, IP65, AC Voltmetar 50 – 600V, Napajanje sa Ulaznog Napona</t>
  </si>
  <si>
    <t>AD16-22 Mini Panel Voltmetar Žuti</t>
  </si>
  <si>
    <t>Mini Digitalni Panel Voltmetar - Φ22mm, Žuti, IP65, AC Voltmetar 50 – 600V, Napajanje sa Ulaznog Napona</t>
  </si>
  <si>
    <t>LM8-IRRD</t>
  </si>
  <si>
    <t>Panelmetar - Ulaz davač sile, 2x4 cifara, Izlaz 4-20mA i 2 x Relay Alarm, 220V/110V AC</t>
  </si>
  <si>
    <t>LH86-VRRD</t>
  </si>
  <si>
    <t>Panelmetar - Ulaz davač sile, 2x6 cifara, Izlaz 0-10V i 2 x Relay Alarm, 90 – 260V AC/DC</t>
  </si>
  <si>
    <t>LH86-IRRD</t>
  </si>
  <si>
    <t>Panelmetar - Ulaz davač sile, 2x6 cifara, Izlaz 4-20mA i 2 x Relay Alarm, 90 – 260V AC/DC</t>
  </si>
  <si>
    <t>LH86-IRR4D</t>
  </si>
  <si>
    <t>Panelmetar - Ulaz davač sile, 2x6 cifara, Izlaz 4-20mA i 2 x Relay Alarm, RS485, 90 – 260V AC/DC</t>
  </si>
  <si>
    <t>LH8-IRR4D</t>
  </si>
  <si>
    <t>LH86-IRRRD</t>
  </si>
  <si>
    <t>Panelmetar - Ulaz davač sile, 2x6 cifara, Izlaz 4-20mA i 3 x Relay Alarm, 90 – 260V AC/DC</t>
  </si>
  <si>
    <t>LA8-IRR4A</t>
  </si>
  <si>
    <t>Panelmetar - Ulaz davač sile, 4 cifre, Izlaz 4-20mA i 2 x Relay Alarm, RS485, 90 – 260V AC/DC</t>
  </si>
  <si>
    <t>MF-A01 6mm</t>
  </si>
  <si>
    <t>Kapica - Za jednoobrtni potenciometar, Osovina Ø6mm, 12mm x Ø20mm</t>
  </si>
  <si>
    <t>MF-A03 6mm</t>
  </si>
  <si>
    <t>Kapica - Za jednoobrtni potenciometar, Osovina Ø6mm, 15mm x Ø27mm</t>
  </si>
  <si>
    <t>DZP 6/25</t>
  </si>
  <si>
    <t>Kapica - Za jednoobrtni potenciometar, Osovina Ø6mm, 19mm x Ø18mm</t>
  </si>
  <si>
    <t>DZP 2006G</t>
  </si>
  <si>
    <t>Kapica - Za jednoobrtni potenciometar, Osovina Ø6mm, 19mm x Ø19mm</t>
  </si>
  <si>
    <t>DZP 2006B</t>
  </si>
  <si>
    <t>MF-A01 6.3mm</t>
  </si>
  <si>
    <t>Kapica - Za višeobrtni potenciometar, Osovina Ø6.3mm, 12mm x Ø20mm</t>
  </si>
  <si>
    <t>MF-A03 6.3mm</t>
  </si>
  <si>
    <t>Kapica - Za višeobrtni potenciometar, Osovina Ø6.3mm, 15mm x Ø27mm</t>
  </si>
  <si>
    <t>WXD3-13</t>
  </si>
  <si>
    <t>Kapica - Za višeobrtni potenciometar, Osovina Ø6.3mm, 23mm x Ø22mm</t>
  </si>
  <si>
    <t>R16K1 10K 15KC</t>
  </si>
  <si>
    <t>Potenciometar - Linearni potenciometar, 10kΩ, 0.2W, Osovina Ø6x15mm</t>
  </si>
  <si>
    <t>F-16KN 10K</t>
  </si>
  <si>
    <t>Potenciometar - Linearni potenciometar, 10kΩ, 0.2W, Osovina Ø6x20mm</t>
  </si>
  <si>
    <t>R16K1 1K 15KC</t>
  </si>
  <si>
    <t>Potenciometar - Linearni potenciometar, 1kΩ, 0.2W, Osovina Ø6x15mm</t>
  </si>
  <si>
    <t>F-16KN 2.2K</t>
  </si>
  <si>
    <t>Potenciometar - Linearni potenciometar, 2.2kΩ, 0.2W, Osovina Ø6x20mm</t>
  </si>
  <si>
    <t>PC20BU 470K</t>
  </si>
  <si>
    <t>Potenciometar - Linearni potenciometar, 470kΩ, 0.4W, Osovina Ø6x50mm</t>
  </si>
  <si>
    <t>R16K1 500K 15KC</t>
  </si>
  <si>
    <t>Potenciometar - Linearni potenciometar, 500kΩ, 0.2W, Osovina Ø6x15mm</t>
  </si>
  <si>
    <t>R16K1 5K 15KC</t>
  </si>
  <si>
    <t>Potenciometar - Linearni potenciometar, 5kΩ, 0.2W, Osovina Ø6x15mm</t>
  </si>
  <si>
    <t>F-16KN 5K</t>
  </si>
  <si>
    <t>Potenciometar - Linearni potenciometar, 5kΩ, 0.2W, Osovina Ø6x20mm</t>
  </si>
  <si>
    <t>3590S-2-202L 10K</t>
  </si>
  <si>
    <t>Potenciometar - Linearni višeobrtni potenciometar, 10kΩ, 2W, Osovina Ø6.3x20mm</t>
  </si>
  <si>
    <t>3590S-2-202L 2.2K</t>
  </si>
  <si>
    <t>Potenciometar - Linearni višeobrtni potenciometar, 2.2kΩ, 2W, Osovina Ø6.3x20mm</t>
  </si>
  <si>
    <t>3590S-2-202L 5K</t>
  </si>
  <si>
    <t>Potenciometar - Linearni višeobrtni potenciometar, 5kΩ, 2W, Osovina Ø6.3x20mm</t>
  </si>
  <si>
    <t>PWP-534 5K</t>
  </si>
  <si>
    <t>AF-20MR-D</t>
  </si>
  <si>
    <t>AF PLC - 12 x Digitalnih Ulaza, 8 x Relejnih Izlaza, 12-24VDC</t>
  </si>
  <si>
    <t>AF-20MT-D</t>
  </si>
  <si>
    <t>AF PLC - 12 x Digitalnih Ulaza, 8 x Tranzistor NPN Izlaza, 12-24VDC</t>
  </si>
  <si>
    <t>AF-10MR-A</t>
  </si>
  <si>
    <t>AF PLC - 6 x Digitalnih Ulaza, 4 x Relejnih Izlaza, 100-240VAC</t>
  </si>
  <si>
    <t>AF-10MT-E</t>
  </si>
  <si>
    <t>AF PLC - 6 x Digitalnih Ulaza, 4 x Tranzistor NPN Izlaza, 12-24VDC</t>
  </si>
  <si>
    <t>MA-16PX</t>
  </si>
  <si>
    <t>PLC MODBUS Modul - 16 PNP Ulaza</t>
  </si>
  <si>
    <t>MA-16YR</t>
  </si>
  <si>
    <t>PLC MODBUS Modul - 16 Relejnih Izlaza</t>
  </si>
  <si>
    <t>MA-4AD2DA</t>
  </si>
  <si>
    <t>PLC MODBUS Modul - 4 x 12bit Analogna Ulaza, 2 x 10bit Analogna Izlaza</t>
  </si>
  <si>
    <t>MA-6TCK-P</t>
  </si>
  <si>
    <t>PLC MODBUS Modul - 6 x K tip termosonda sa PID funkcijom</t>
  </si>
  <si>
    <t>MA-6PT-P</t>
  </si>
  <si>
    <t>PLC MODBUS Modul - 6 x PT-100 termosonda sa PID funkcijom</t>
  </si>
  <si>
    <t>MA-8X8YR</t>
  </si>
  <si>
    <t>PLC MODBUS Modul - 8 PNP Ulaza, 8 Relejnih Izlaza</t>
  </si>
  <si>
    <t>MA-8AD-V</t>
  </si>
  <si>
    <t>PLC MODBUS Modul - 8 x 12bit analogna ulaza sa PID funkcijom</t>
  </si>
  <si>
    <t>XP3-18PRT-C</t>
  </si>
  <si>
    <t>PLC sa Panelom - 10 PNP Ulaza, 4 Tranzistorska Izlaza, 4 Relejna Izlaza, 24VDC</t>
  </si>
  <si>
    <t>XP3-18PT-C</t>
  </si>
  <si>
    <t>PLC sa Panelom - 10 PNP Ulaza, 8 Tranzistorskih Izlaza, 24VDC</t>
  </si>
  <si>
    <t>XMP2-32PR-E</t>
  </si>
  <si>
    <t>PLC sa Panelom - 16 PNP Ulaza, 16 Relejnih Izlaza, 220VAC</t>
  </si>
  <si>
    <t>XMP2-32PR-C</t>
  </si>
  <si>
    <t>PLC sa Panelom - 16 PNP Ulaza, 16 Relejnih Izlaza, 24VDC</t>
  </si>
  <si>
    <t>XMP2-32PT-E</t>
  </si>
  <si>
    <t>PLC sa Panelom - 16 PNP Ulaza, 16 Tranzistorskih Izlaza, 220VAC</t>
  </si>
  <si>
    <t>XMH-30PRT-C</t>
  </si>
  <si>
    <t>PLC sa Panelom - 16 PNP Ulaza, 2 Tranzistorska Izlaza, 12 Relejnih Izlaza, 24VDC</t>
  </si>
  <si>
    <t>XP3-16PRT-E</t>
  </si>
  <si>
    <t>PLC sa Panelom - 8 PNP Ulaza, 4 Relejna Izlaza, 4 Tranzistorska Izlaza, 220VAC</t>
  </si>
  <si>
    <t>XP3-16PR-E</t>
  </si>
  <si>
    <t>PLC sa Panelom - 8 PNP Ulaza, 8 Relejnih Izlaza, 220VAC</t>
  </si>
  <si>
    <t>XC-BD-2AD2DA</t>
  </si>
  <si>
    <t>PLC XC BD Modul - 2 analoga ulaza (0 – 5VDC ili 0 – 10VDC), 2 analoga izlaza (0 – 20mA ili 4 – 20mA), PID funkcija</t>
  </si>
  <si>
    <t>XC-BD-2AD2PT</t>
  </si>
  <si>
    <t>PLC XC BD Modul - 2 analoga ulaza (0 – 5VDC ili 0 – 10VDC), 2 PT-100 ulaza, PID funkcija</t>
  </si>
  <si>
    <t>XC-BD-SD</t>
  </si>
  <si>
    <t>PLC XC BD Modul - microSD, FAT16, max 2GB</t>
  </si>
  <si>
    <t>XC-TBOX-BD</t>
  </si>
  <si>
    <t>PLC XC BD Modul - Modbus/TCP protokol</t>
  </si>
  <si>
    <t>XC-BD-COM</t>
  </si>
  <si>
    <t>PLC XC BD Modul - RS232 i RS485 komunikacioni port. RS232 i RS485 se ne mogu koristiti istovremeno.</t>
  </si>
  <si>
    <t>XC1-24PR-E</t>
  </si>
  <si>
    <t>Programabilni Logički Kontroler - 12 PNP Ulaza, 12 Relejnih Izlaza, 220VAC</t>
  </si>
  <si>
    <t>XC1-24PT-E</t>
  </si>
  <si>
    <t>Programabilni Logički Kontroler - 12 PNP Ulaza, 12 Tranzistorskih Izlaza, 220VAC</t>
  </si>
  <si>
    <t>XC3-24PR-C</t>
  </si>
  <si>
    <t>Programabilni Logički Kontroler - 14 PNP Ulaza, 10 Relejnih Izlaza, 24VDC</t>
  </si>
  <si>
    <t>XC3-24PT-E</t>
  </si>
  <si>
    <t>Programabilni Logički Kontroler - 14 PNP Ulaza, 10 Tranzistorskih Izlaza, 220VAC</t>
  </si>
  <si>
    <t>XC3-24PT-C</t>
  </si>
  <si>
    <t>Programabilni Logički Kontroler - 14 PNP Ulaza, 10 Tranzistorskih Izlaza, 24VDC</t>
  </si>
  <si>
    <t>XC3-24PRT-C</t>
  </si>
  <si>
    <t>Programabilni Logički Kontroler - 14 PNP Ulaza, 2 Tranzistorska Izlaza, 6 Relejnih Izlaza, 24VDC</t>
  </si>
  <si>
    <t>XC3-24PRT-E</t>
  </si>
  <si>
    <t>Programabilni Logički Kontroler - 14 PNP Ulaza, 2 Tranzistorska Izlaza, 8 Relejnih Izlaza, 220VAC</t>
  </si>
  <si>
    <t>XC1-32PR-E</t>
  </si>
  <si>
    <t>Programabilni Logički Kontroler - 16 PNP Ulaza, 16 Relejnih Izlaza, 220VAC</t>
  </si>
  <si>
    <t>XC3-32PT-E</t>
  </si>
  <si>
    <t>Programabilni Logički Kontroler - 18 PNP Ulaza, 14 Tranzistorskih Izlaza, 220VAC</t>
  </si>
  <si>
    <t>XC3-32PRT-E</t>
  </si>
  <si>
    <t>Programabilni Logički Kontroler - 18 PNP Ulaza, 2 Tranzistorska Izlaza, 12 Relejnih Izlaza, 220VAC</t>
  </si>
  <si>
    <t>XC3-32PRT-C</t>
  </si>
  <si>
    <t>Programabilni Logički Kontroler - 18 PNP Ulaza, 2 Tranzistorska Izlaza, 12 Relejnih Izlaza, 24VDC</t>
  </si>
  <si>
    <t>XC3-48RT-E</t>
  </si>
  <si>
    <t>Programabilni Logički Kontroler - 28 NPN Ulaza, 2 Tranzistorska Izlaza, 18 Relejnih Izlaza, 220VAC</t>
  </si>
  <si>
    <t>XC3-48PRT-E</t>
  </si>
  <si>
    <t>Programabilni Logički Kontroler - 28 PNP Ulaza, 2 Tranzistorska Izlaza, 18 Relejnih Izlaza, 220VAC</t>
  </si>
  <si>
    <t>XC3-48PT-E</t>
  </si>
  <si>
    <t>Programabilni Logički Kontroler - 28 PNP Ulaza, 20 Tranzistorskih Izlaza, 220VAC</t>
  </si>
  <si>
    <t>XC3-60PRT-E</t>
  </si>
  <si>
    <t>Programabilni Logički Kontroler - 36 PNP Ulaza, 2 Tranzistorska Izlaza, 22 Relejna Izlaza, 220VAC</t>
  </si>
  <si>
    <t>XC3-60PT-E</t>
  </si>
  <si>
    <t>Programabilni Logički Kontroler - 36 PNP Ulaza, 24 Tranzistorska Izlaza, 220VAC</t>
  </si>
  <si>
    <t>XC3-14PRT-E</t>
  </si>
  <si>
    <t>Programabilni Logički Kontroler - 8 PNP Ulaza, 2 Tranzistorska Izlaza, 4 Relejna Izlaza, 220VAC</t>
  </si>
  <si>
    <t>XC3-14PR-E</t>
  </si>
  <si>
    <t>Programabilni Logički Kontroler - 8 PNP Ulaza, 6 Relejnih Izlaza, 220VAC</t>
  </si>
  <si>
    <t>XC3-14PT-C</t>
  </si>
  <si>
    <t>Programabilni Logički Kontroler - 8 PNP Ulaza, 6 Tranzistorskih Izlaza 24VDC</t>
  </si>
  <si>
    <t>XC3-14PT-E</t>
  </si>
  <si>
    <t>Programabilni Logički Kontroler - 8 PNP Ulaza, 6 Tranzistorskih Izlaza, 220VAC</t>
  </si>
  <si>
    <t>XC1-16PR-E</t>
  </si>
  <si>
    <t>Programabilni Logički Kontroler - 8 PNP Ulaza, 8 Relejnih Izlaza, 220VAC</t>
  </si>
  <si>
    <t>XC1-16PT-E</t>
  </si>
  <si>
    <t>Programabilni Logički Kontroler - 8 PNP Ulaza, 8 Tranzistorskih Izlaza, 220VAC</t>
  </si>
  <si>
    <t>XC3-19AR-E</t>
  </si>
  <si>
    <t>Programabilni Logički Kontroler - 9 NPN Ulaza, 8 Analognih Ulaza (12Bit 0 – 10V), 10 Relejnih Izlaza, 2 Analogna Izlaza (0 – 10V ili 4 – 20mA), 220VAC</t>
  </si>
  <si>
    <t>SR-12MRDC</t>
  </si>
  <si>
    <t>SR PLC - 8 x Digitalnih / 6 x Analognih Ulaza, 4 x Relejna Izlaza, 12-24VDC</t>
  </si>
  <si>
    <t>SR-12MTDC</t>
  </si>
  <si>
    <t>SR PLC - 8 x Digitalnih / 6 x Analognih Ulaza, 4 x Tranzistor NPN Izlaza, 12-24VDC</t>
  </si>
  <si>
    <t>SR-20ERD</t>
  </si>
  <si>
    <t>SR-20 PLC Proširenje - 12 x Digitalnih Ulaza, 8 x Relejnih Izlaza, 12-24VDC</t>
  </si>
  <si>
    <t>SR-20ETD</t>
  </si>
  <si>
    <t>SR-20 PLC Proširenje - 12 x Digitalnih Ulaza, 8 x Tranzistor NPN Izlaza, 12-24VDC</t>
  </si>
  <si>
    <t>SR-22MTDC</t>
  </si>
  <si>
    <t>SR-22 PLC - 14 x Digitalnih / 8 x Analognih Ulaza, 8 x Tranzistor NPN Izlaza, 12-24VDC</t>
  </si>
  <si>
    <t>XC-E16PX</t>
  </si>
  <si>
    <t>XC3 PLC Proširenje - 16 PNP Ulaza</t>
  </si>
  <si>
    <t>XC-E16YR</t>
  </si>
  <si>
    <t>XC3 PLC Proširenje - 16 Relejnih Izlaza</t>
  </si>
  <si>
    <t>XC-E16YT</t>
  </si>
  <si>
    <t>XC3 PLC Proširenje - 16 Tranzistorskih Izlaza</t>
  </si>
  <si>
    <t>XC-E4AD2DA</t>
  </si>
  <si>
    <t>XC3 PLC Proširenje - 2 strujna ili 2 naponska analogna ulaza i izlaza</t>
  </si>
  <si>
    <t>XC-E3AD4PT2DA</t>
  </si>
  <si>
    <t>XC3 PLC Proširenje - 3 strujna ili 2 naponska i 4 PT100 analogna ulaza. 2 naponska analogna izlaza</t>
  </si>
  <si>
    <t>XC-E32PX</t>
  </si>
  <si>
    <t>XC3 PLC Proširenje - 32 PNP Ulaza</t>
  </si>
  <si>
    <t>XC-E32YR</t>
  </si>
  <si>
    <t>XC3 PLC Proširenje - 32 Relejna Izlaza</t>
  </si>
  <si>
    <t>XC-E32YT</t>
  </si>
  <si>
    <t>XC3 PLC Proširenje - 32 Tranzistorska Izlaza</t>
  </si>
  <si>
    <t>XC-E8AD</t>
  </si>
  <si>
    <t>XC3 PLC Proširenje - 4 kanala strujni ulaz, 4 kanala naponski ulaz</t>
  </si>
  <si>
    <t>XC-E4DA</t>
  </si>
  <si>
    <t>XC3 PLC Proširenje - 4 strujna ili 4 naponska analogna izlaza</t>
  </si>
  <si>
    <t>XC-E6TC-P</t>
  </si>
  <si>
    <t>XC3 PLC Proširenje - 6 kanala K tip termopar 0 – 1000°C, preciznosti 0.1°C, integrisana PID funkcija</t>
  </si>
  <si>
    <t>XC-E6PT-P</t>
  </si>
  <si>
    <t>XC3 PLC Proširenje - 6 PT100 ulaza -150 – 350°C, preciznosti 0.1°C, integrisana PID funkcija</t>
  </si>
  <si>
    <t>XC-E8PX</t>
  </si>
  <si>
    <t>XC3 PLC Proširenje - 8 PNP Ulaza</t>
  </si>
  <si>
    <t>XC-E8PX8YR</t>
  </si>
  <si>
    <t>XC3 PLC Proširenje - 8 PNP Ulaza, 8 Relejnih Izlaza</t>
  </si>
  <si>
    <t>XC-E8PX8YT</t>
  </si>
  <si>
    <t>XC3 PLC Proširenje - 8 PNP Ulaza, 8 Tranzistorskih Izlaza</t>
  </si>
  <si>
    <t>XC-E8YR</t>
  </si>
  <si>
    <t>XC3 PLC Proširenje - 8 Relejnih Izlaza</t>
  </si>
  <si>
    <t>XP-2AD2PT-BD</t>
  </si>
  <si>
    <t>XP/XMP BD Modul - 2 naponska i 2 PT100 analogna ulaza</t>
  </si>
  <si>
    <t>XP-4AD-BD</t>
  </si>
  <si>
    <t>XP/XMP BD Modul - 4 naponska analogna ulaza</t>
  </si>
  <si>
    <t>XP-3AD3PT-BD2</t>
  </si>
  <si>
    <t>XP3/XMH BD Modul - 3 naponska i 3 PT100 analogna ulaza</t>
  </si>
  <si>
    <t>XP-4AD2DA-BD2</t>
  </si>
  <si>
    <t>XP3/XMH BD Modul - 4 naponska analogna ulaza i 2 strujna ili naponska analogna izlaza</t>
  </si>
  <si>
    <t>APB-24MRDL</t>
  </si>
  <si>
    <t>µPLC - 14 PNP Ulaza (4 High Speed), 2 Strujna 4-20mA Ulaza, 8 PNP Izlaza (2 High Speed), 2 Strujna 4-20mA Izlaza, Displej, 12-24VDC</t>
  </si>
  <si>
    <t>APB-22MGD</t>
  </si>
  <si>
    <t>µPLC - 14 PNP Ulaza (4 High Speed), 8 PNP Izlaza (2 High Speed), 12-24VDC</t>
  </si>
  <si>
    <t>APB-22MGDL</t>
  </si>
  <si>
    <t>µPLC - 14 PNP Ulaza (4 High Speed), 8 PNP Izlaza (2 High Speed), Displej, 12-24VDC</t>
  </si>
  <si>
    <t>APB-22MRD</t>
  </si>
  <si>
    <t>µPLC - 14 PNP Ulaza (4 High Speed), 8 Relejnih Izlaza, 12-24VDC</t>
  </si>
  <si>
    <t>APB-22MRDL</t>
  </si>
  <si>
    <t>µPLC - 14 PNP Ulaza (4 High Speed), 8 Relejnih Izlaza, Displej, 12-24VDC</t>
  </si>
  <si>
    <t>APB-12MRA</t>
  </si>
  <si>
    <t>µPLC - 8 AC Ulaza, 4 Relejna Izlaza, 100-240VAC</t>
  </si>
  <si>
    <t>APB-12MRAL</t>
  </si>
  <si>
    <t>µPLC - 8 AC Ulaza, 4 Relejna Izlaza, Displej, 100-240VAC</t>
  </si>
  <si>
    <t>APB-12MGD</t>
  </si>
  <si>
    <t>µPLC - 8 Digitalnih Ulaza (4 High Speed), 4 PNP Izlaz (2 High Speed), 12-24VDC</t>
  </si>
  <si>
    <t>APB-12MGDL</t>
  </si>
  <si>
    <t>µPLC - 8 Digitalnih Ulaza (4 High Speed), 4 PNP Izlaz (2 High Speed), Displej, 12-24VDC</t>
  </si>
  <si>
    <t>APB-12MRD</t>
  </si>
  <si>
    <t>µPLC - 8 Digitalnih Ulaza, 4 Relejna Izlaza, 12-24VDC</t>
  </si>
  <si>
    <t>APB-12MRDL</t>
  </si>
  <si>
    <t>µPLC - 8 Digitalnih Ulaza, 4 Relejna Izlaza, Displej, 12-24VDC</t>
  </si>
  <si>
    <t>APB-22EGD</t>
  </si>
  <si>
    <t>µPLC Proširenje - 14 Digitalnih Ulaza, 8 PNP Izlaza, 12-24VDC</t>
  </si>
  <si>
    <t>APB-22ERA</t>
  </si>
  <si>
    <t>µPLC Proširenje - 14 Digitalnih Ulaza, 8 Relejnih Izlaza, 100-240VAC</t>
  </si>
  <si>
    <t>APB-22ERD</t>
  </si>
  <si>
    <t>µPLC Proširenje - 14 Digitalnih Ulaza, 8 Relejnih Izlaza, 12-24VDC</t>
  </si>
  <si>
    <t>APB-EXNET</t>
  </si>
  <si>
    <t>µPLC Proširenje - Ethernet Modul, 12-24VDC</t>
  </si>
  <si>
    <t>APB-EXPMC</t>
  </si>
  <si>
    <t>µPLC Proširenje - MODBUS Modul, 12-24VDC</t>
  </si>
  <si>
    <t>APB-SMS</t>
  </si>
  <si>
    <t>µPLC Proširenje - SMS Modul, 12-24VDC</t>
  </si>
  <si>
    <t>AF-DUSB</t>
  </si>
  <si>
    <t>Kabl za Programiranje - Kabl za programiranje sa PC računara iz programa Qick II.</t>
  </si>
  <si>
    <t>SR-DUSB</t>
  </si>
  <si>
    <t>Kabl za Programiranje - Komunikacioni kabl za programiranje SR serije.</t>
  </si>
  <si>
    <t>SR-ECBD</t>
  </si>
  <si>
    <t>Kabla za Proširenje - Kabl-adatper za povezivanje PLC-a i proširenja.</t>
  </si>
  <si>
    <t>AF-LCD</t>
  </si>
  <si>
    <t>LCD Panel - LCD panel 4 x 10 karaktera, za monitorisanje i pisanje programa.</t>
  </si>
  <si>
    <t>SR-WRT</t>
  </si>
  <si>
    <t>Panel - LCD panel 4 x 10 karaktera, za monitorisanje i pisanje programa.</t>
  </si>
  <si>
    <t>SR-HMI</t>
  </si>
  <si>
    <t>Panel - Programibilni LCD panel 4 x 10 karaktera, za definisanje funkcija po želji korisnika.</t>
  </si>
  <si>
    <t>SR-EHC</t>
  </si>
  <si>
    <t>Panel Adapter - Adapter za udaljenu montažu LCD panela.</t>
  </si>
  <si>
    <t>APB-232</t>
  </si>
  <si>
    <t>PLC Kabl za Komunikaciju - Koristi se za komunikaciju APB PLC serije sa panelima serije SH300</t>
  </si>
  <si>
    <t>APB-DUSB</t>
  </si>
  <si>
    <t>PLC Kabl za Programiranje - Koristi se za programiranje APB PLC serije</t>
  </si>
  <si>
    <t>TH-PC-CAB</t>
  </si>
  <si>
    <t>PLC Kabl za Programiranje - Koristi se za programiranje PLCa i operator panela</t>
  </si>
  <si>
    <t>XC-PC-CAB</t>
  </si>
  <si>
    <t>OP-PC-CAB</t>
  </si>
  <si>
    <t>AF-COPY</t>
  </si>
  <si>
    <t>Transfer Modul - Modul za učitavanje programa sa jednog uređaja i prenošenje na drugi bez posredstva PC-a.</t>
  </si>
  <si>
    <t>GQM-15 15m</t>
  </si>
  <si>
    <t>Plovak - 15m, 250V / 4A, IP68</t>
  </si>
  <si>
    <t>GQM-15 2m</t>
  </si>
  <si>
    <t>Plovak - 2m, 250V / 4A, IP68</t>
  </si>
  <si>
    <t>GQM-15 3m</t>
  </si>
  <si>
    <t>Plovak - 3m, 250V / 4A, IP68</t>
  </si>
  <si>
    <t>GQM-15 5m</t>
  </si>
  <si>
    <t>Plovak - 5m, 250V / 4A, IP68</t>
  </si>
  <si>
    <t>CS1-U</t>
  </si>
  <si>
    <t>Reed Senzor - Sn: 10mm, Ue: 5 – 240V AC/DC</t>
  </si>
  <si>
    <t>SR-401</t>
  </si>
  <si>
    <t>Reed Senzor - Sn: 10mm, Ue: 90 – 250VAC</t>
  </si>
  <si>
    <t>YR101</t>
  </si>
  <si>
    <t>HL-30</t>
  </si>
  <si>
    <t>ZKG-2000</t>
  </si>
  <si>
    <t>SCR Regulator Napona - 1 kanal, 0 – 220VAC, 220VAC 50Hz/60Hz</t>
  </si>
  <si>
    <t>ZKC-2101</t>
  </si>
  <si>
    <t>SCR Regulator Napona - 10 kanala, 0 – 220VAC, RS485, 220VAC 50Hz/60Hz</t>
  </si>
  <si>
    <t>FC-071</t>
  </si>
  <si>
    <t>Regulator Vlage - Ulaz High Molecule, Izlaz 1 x Rele, 220VAC</t>
  </si>
  <si>
    <t>XMTF-627</t>
  </si>
  <si>
    <t>Regulator Vlage - Ulaz High Molecule, Izlaz 1 x Rele, Alarm x 1, 220VAC</t>
  </si>
  <si>
    <t>XMTC-617</t>
  </si>
  <si>
    <t>XMTA-9007C</t>
  </si>
  <si>
    <t>Regulator Vlage i Temperature - Ulaz PT-100 + High Molecule, Izlaz 3 x Rele, 220VAC</t>
  </si>
  <si>
    <t>XMT9007-8</t>
  </si>
  <si>
    <t>XMTA9007-8</t>
  </si>
  <si>
    <t>XMT-9007C</t>
  </si>
  <si>
    <t>XMT9007-8K</t>
  </si>
  <si>
    <t>Regulator Vlage i Temperature - Ulaz PT-100 + High Molecule, Izlaz 3 x Rele, RS485, 220VAC</t>
  </si>
  <si>
    <t>XMTA9007-8K</t>
  </si>
  <si>
    <t>CJLC-9007</t>
  </si>
  <si>
    <t>Regulator Vlage i Temperature - Ulaz PT-100 + High Molecule, Izlaz 6 x &lt;font color="#FF3333"&gt;Optotrijak, 200mA max&lt;/font&gt;, RS485, 220VAC</t>
  </si>
  <si>
    <t>WSK-303</t>
  </si>
  <si>
    <t>Regulator Vlage i Temperature - Uređaj ima spoljni senzor, 2 x Rele, 220VAC</t>
  </si>
  <si>
    <t>MK3P5-I 220VAC</t>
  </si>
  <si>
    <t>Rele - 3PDT, 10A struja kontakta, 220VAC komandni napon</t>
  </si>
  <si>
    <t>70-03 220VAC</t>
  </si>
  <si>
    <t>70-03 24VAC</t>
  </si>
  <si>
    <t>Rele - 3PDT, 10A struja kontakta, 24VAC komandni napon</t>
  </si>
  <si>
    <t>80-03 24VDC</t>
  </si>
  <si>
    <t>Rele - 3PDT, 10A struja kontakta, 24VDC komandni napon</t>
  </si>
  <si>
    <t>MK3P5-I 24VDC</t>
  </si>
  <si>
    <t>70-03 24VDC</t>
  </si>
  <si>
    <t>MY3 220VAC</t>
  </si>
  <si>
    <t>Rele - 3PDT, 5A struja kontakta, LED, 220VAC komandni napon</t>
  </si>
  <si>
    <t>MY3 24VDC</t>
  </si>
  <si>
    <t>Rele - 3PDT, 5A struja kontakta, LED, 24VDC komandni napon</t>
  </si>
  <si>
    <t>RUB3C1 220VAC</t>
  </si>
  <si>
    <t>Rele - 3PDT, LED, 7A struja kontakta, 220VAC komandni napon</t>
  </si>
  <si>
    <t>RUB3C1 24VAC</t>
  </si>
  <si>
    <t>Rele - 3PDT, LED, 7A struja kontakta, 24VAC komandni napon</t>
  </si>
  <si>
    <t>RUB3C1 24VDC</t>
  </si>
  <si>
    <t>Rele - 3PDT, LED, 7A struja kontakta, 24VDC komandni napon</t>
  </si>
  <si>
    <t>57-04 220VAC</t>
  </si>
  <si>
    <t>Rele - 4PDT, 5A struja kontakta, 220VAC komandni napon</t>
  </si>
  <si>
    <t>57-04 24VDC</t>
  </si>
  <si>
    <t>Rele - 4PDT, 5A struja kontakta, 24VDC komandni napon</t>
  </si>
  <si>
    <t>MY4 12VDC</t>
  </si>
  <si>
    <t>Rele - 4PDT, 5A struja kontakta, LED, 12VDC komandni napon</t>
  </si>
  <si>
    <t>MY4 220VAC</t>
  </si>
  <si>
    <t>Rele - 4PDT, 5A struja kontakta, LED, 220VAC komandni napon</t>
  </si>
  <si>
    <t>MY4 24VAC</t>
  </si>
  <si>
    <t>Rele - 4PDT, 5A struja kontakta, LED, 24VAC komandni napon</t>
  </si>
  <si>
    <t>MY4 24VDC</t>
  </si>
  <si>
    <t>Rele - 4PDT, 5A struja kontakta, LED, 24VDC komandni napon</t>
  </si>
  <si>
    <t>RKE4CO 220VAC</t>
  </si>
  <si>
    <t>Rele - 4PDT, LED, 5A struja kontakta, 220VAC komandni napon</t>
  </si>
  <si>
    <t>RKE4CO 24VAC</t>
  </si>
  <si>
    <t>Rele - 4PDT, LED, 5A struja kontakta, 24VAC komandni napon</t>
  </si>
  <si>
    <t>RKE4CO 24VDC</t>
  </si>
  <si>
    <t>Rele - 4PDT, LED, 5A struja kontakta, 24VDC komandni napon</t>
  </si>
  <si>
    <t>70-02 220VAC</t>
  </si>
  <si>
    <t>Rele - DPDT, 10A struja kontakta, 220VAC komandni napon</t>
  </si>
  <si>
    <t>58-02 220VAC</t>
  </si>
  <si>
    <t>MK2P5-I 220VAC</t>
  </si>
  <si>
    <t>MK2P5-I 24VDC</t>
  </si>
  <si>
    <t>Rele - DPDT, 10A struja kontakta, 24VDC komandni napon</t>
  </si>
  <si>
    <t>70-02 24VDC</t>
  </si>
  <si>
    <t>58-02 24VDC</t>
  </si>
  <si>
    <t>JQX-13F-KF2CL 220VAC</t>
  </si>
  <si>
    <t>Rele - DPDT, 5A struja kontakta, 220VAC komandni napon</t>
  </si>
  <si>
    <t>JQX-14FC-2C 220VAC</t>
  </si>
  <si>
    <t>JQX-14FC-2Z 220VAC</t>
  </si>
  <si>
    <t>57-02 220VAC</t>
  </si>
  <si>
    <t>57-02 24VDC</t>
  </si>
  <si>
    <t>Rele - DPDT, 5A struja kontakta, 24VDC komandni napon</t>
  </si>
  <si>
    <t>JQX-14FC-2C 24VDC</t>
  </si>
  <si>
    <t>JQX-14FC-2Z 24VDC</t>
  </si>
  <si>
    <t>MY2 12VDC</t>
  </si>
  <si>
    <t>Rele - DPDT, 5A struja kontakta, LED, 12VDC komandni napon</t>
  </si>
  <si>
    <t>MY2 220VAC</t>
  </si>
  <si>
    <t>Rele - DPDT, 5A struja kontakta, LED, 220VAC komandni napon</t>
  </si>
  <si>
    <t>MY2 24VAC</t>
  </si>
  <si>
    <t>Rele - DPDT, 5A struja kontakta, LED, 24VAC komandni napon</t>
  </si>
  <si>
    <t>MY2 24VDC</t>
  </si>
  <si>
    <t>Rele - DPDT, 5A struja kontakta, LED, 24VDC komandni napon</t>
  </si>
  <si>
    <t>JQX-115F-2Z 12VDC</t>
  </si>
  <si>
    <t>Rele - DPDT, 8A struja kontakta, 12VDC komandni napon</t>
  </si>
  <si>
    <t>JQX-115F-2Z 24VDC</t>
  </si>
  <si>
    <t>Rele - DPDT, 8A struja kontakta, 24VDC komandni napon</t>
  </si>
  <si>
    <t>RFT2CO 220VAC</t>
  </si>
  <si>
    <t>Rele - DPDT, LED, 5A struja kontakta, 220VAC komandni napon</t>
  </si>
  <si>
    <t>RFT2CO 24VAC</t>
  </si>
  <si>
    <t>Rele - DPDT, LED, 5A struja kontakta, 24VAC komandni napon</t>
  </si>
  <si>
    <t>RFT2CO 24VDC</t>
  </si>
  <si>
    <t>Rele - DPDT, LED, 5A struja kontakta, 24VDC komandni napon</t>
  </si>
  <si>
    <t>RKE2CO 24VDC</t>
  </si>
  <si>
    <t>Rele - DPDT, LED, 7A struja kontakta, 24VDC komandni napon</t>
  </si>
  <si>
    <t>JQX-76F-BLD-2A 220VAC</t>
  </si>
  <si>
    <t>Rele - DPST, 25A struja kontakta, 220VAC komandni napon</t>
  </si>
  <si>
    <t>JQX-76F-BLD-2A 24VDC</t>
  </si>
  <si>
    <t>Rele - DPST, 25A struja kontakta, 24VDC komandni napon</t>
  </si>
  <si>
    <t>JQX-14FC-1Z 220VAC</t>
  </si>
  <si>
    <t>Rele - SPDT, 10A struja kontakta, 220VAC komandni napon</t>
  </si>
  <si>
    <t>RFT1CO 220VAC</t>
  </si>
  <si>
    <t>JQX-14FC-1Z 3.5 220VAC</t>
  </si>
  <si>
    <t>RFT1CO 24VAC</t>
  </si>
  <si>
    <t>Rele - SPDT, 10A struja kontakta, 24VAC komandni napon</t>
  </si>
  <si>
    <t>JQX-14FC-1Z 24VDC</t>
  </si>
  <si>
    <t>Rele - SPDT, 10A struja kontakta, 24VDC komandni napon</t>
  </si>
  <si>
    <t>RFT1CO 24VDC</t>
  </si>
  <si>
    <t>JQX-115F-1Z 12VDC</t>
  </si>
  <si>
    <t>Rele - SPDT, 16A struja kontakta, 12VDC komandni napon</t>
  </si>
  <si>
    <t>JQX-115F-1Z 24VDC</t>
  </si>
  <si>
    <t>Rele - SPDT, 16A struja kontakta, 24VDC komandni napon</t>
  </si>
  <si>
    <t>RNC1CO 24VDC</t>
  </si>
  <si>
    <t>Rele - SPDT, 6A struja kontakta, 24VDC komandni napon</t>
  </si>
  <si>
    <t>RNC1CO 60VDC</t>
  </si>
  <si>
    <t>Rele - SPDT, 6A struja kontakta, 60VDC komandni napon</t>
  </si>
  <si>
    <t>SY36S</t>
  </si>
  <si>
    <t>Držač za Rele - Metalan, 2kom, za SYF serije podnožija</t>
  </si>
  <si>
    <t>K25C</t>
  </si>
  <si>
    <t>Držač za Rele - Metalan, za RT6/AS6 serije podnožija</t>
  </si>
  <si>
    <t>SU52M</t>
  </si>
  <si>
    <t>Držač za Rele - Metalan, za SEB serije podnožija</t>
  </si>
  <si>
    <t>SK36M</t>
  </si>
  <si>
    <t>Držač za Rele - Metalan, za SKB/SKC/SKE/SKF serije podnožija</t>
  </si>
  <si>
    <t>SK28L</t>
  </si>
  <si>
    <t>Držač za Rele - Plastičan, za SKB/SKC serije podnožija</t>
  </si>
  <si>
    <t>SK36F</t>
  </si>
  <si>
    <t>SR20F</t>
  </si>
  <si>
    <t>Držač za Rele - Plastičan, za SRC/SRB serije podnožija</t>
  </si>
  <si>
    <t>SR15L</t>
  </si>
  <si>
    <t>SR25C</t>
  </si>
  <si>
    <t>Držač za Rele - Plastičan, za SRC/SRB/SRU serije podnožija</t>
  </si>
  <si>
    <t>SR20U</t>
  </si>
  <si>
    <t>Držač za Rele - Plastičan, za SRU serije podnožija</t>
  </si>
  <si>
    <t>AMD-ML1 220VAC</t>
  </si>
  <si>
    <t>LED Modul za Rele Podnožije - 220VAC LED indikator</t>
  </si>
  <si>
    <t>RTMLO 220VAC</t>
  </si>
  <si>
    <t>RTMLO 24VDC</t>
  </si>
  <si>
    <t>LED Modul za Rele Podnožije - 24VDC LED indikator</t>
  </si>
  <si>
    <t>SK4P</t>
  </si>
  <si>
    <t>Pločica za Rele - Plastična, za SKC/SKB serije podnožija</t>
  </si>
  <si>
    <t>SR2P</t>
  </si>
  <si>
    <t>Pločica za Rele - Plastična, za SRC/SRB serije podnožija</t>
  </si>
  <si>
    <t>SU3P</t>
  </si>
  <si>
    <t>Pločica za Rele - Plastična, za SUB serije podnožija</t>
  </si>
  <si>
    <t>PYF11A</t>
  </si>
  <si>
    <t>Rele Podnožije - 3PDT, DIN, IP20</t>
  </si>
  <si>
    <t>AS703</t>
  </si>
  <si>
    <t>RT703</t>
  </si>
  <si>
    <t>SUB11-E</t>
  </si>
  <si>
    <t>PF113A-E</t>
  </si>
  <si>
    <t>AS770</t>
  </si>
  <si>
    <t>SKC14-E</t>
  </si>
  <si>
    <t>Rele Podnožije - 4PDT, DIN, IP20</t>
  </si>
  <si>
    <t>PYF14A</t>
  </si>
  <si>
    <t>AS704</t>
  </si>
  <si>
    <t>RT704</t>
  </si>
  <si>
    <t>SRC08-E</t>
  </si>
  <si>
    <t>Rele Podnožije - DPDT, DIN, IP20</t>
  </si>
  <si>
    <t>SKF08-E</t>
  </si>
  <si>
    <t>AS702</t>
  </si>
  <si>
    <t>P3G-08A</t>
  </si>
  <si>
    <t>RT626-B</t>
  </si>
  <si>
    <t>SRT08-E</t>
  </si>
  <si>
    <t>PTF08A</t>
  </si>
  <si>
    <t>SRB08-E</t>
  </si>
  <si>
    <t>AS760</t>
  </si>
  <si>
    <t>SRU08-E</t>
  </si>
  <si>
    <t>PYF08A</t>
  </si>
  <si>
    <t>AS626</t>
  </si>
  <si>
    <t>PF083A-E</t>
  </si>
  <si>
    <t>SRC05-E</t>
  </si>
  <si>
    <t>Rele Podnožije - SPDT, DIN, IP20</t>
  </si>
  <si>
    <t>AS625</t>
  </si>
  <si>
    <t>SRU05-E</t>
  </si>
  <si>
    <t>SNC05-E-A</t>
  </si>
  <si>
    <t>Rele Podnožije - SPDT, Ulazni napon 12/24V AC/DC, Napon špulne 12/24VDC, DIN, IP20</t>
  </si>
  <si>
    <t>SNC05-E-D</t>
  </si>
  <si>
    <t>Rele Podnožije - SPDT, Ulazni napon 230V AC/DC, Napon špulne 60VDC, DIN, IP20</t>
  </si>
  <si>
    <t>COB 62</t>
  </si>
  <si>
    <t>Ručni Pult - 4 Tastera, IP65</t>
  </si>
  <si>
    <t>COB 63</t>
  </si>
  <si>
    <t>Ručni Pult - 6 Tastera, IP65</t>
  </si>
  <si>
    <t>FL-2 100A</t>
  </si>
  <si>
    <t>Šant Otpornik - 100A, 75mV</t>
  </si>
  <si>
    <t>FL-2 10A</t>
  </si>
  <si>
    <t>Šant Otpornik - 10A, 75mV</t>
  </si>
  <si>
    <t>FL-2 200A</t>
  </si>
  <si>
    <t>Šant Otpornik - 200A, 75mV</t>
  </si>
  <si>
    <t>FL-2 20A</t>
  </si>
  <si>
    <t>Šant Otpornik - 20A, 75mV</t>
  </si>
  <si>
    <t>FL-2 300A</t>
  </si>
  <si>
    <t>Šant Otpornik - 300A, 75mV</t>
  </si>
  <si>
    <t>FL-2 30A</t>
  </si>
  <si>
    <t>Šant Otpornik - 30A, 75mV</t>
  </si>
  <si>
    <t>FL-2 50A</t>
  </si>
  <si>
    <t>Šant Otpornik - 50A, 75mV</t>
  </si>
  <si>
    <t>RS11AA100</t>
  </si>
  <si>
    <t>Detektor Nivoa Zrnastih Materijala - D 100mm, izlaz NO + NC, 220VAC</t>
  </si>
  <si>
    <t>RS11AA100F</t>
  </si>
  <si>
    <t>MFM500</t>
  </si>
  <si>
    <t>Detektor Protoka - 1~150cm/s (voda) / 3~300cm/s (ulje), Rele NO+NC, 6 LED indikator, 24VDC</t>
  </si>
  <si>
    <t>G15-3A10NA</t>
  </si>
  <si>
    <t>Fotoćelija - Difuzna, 16x21mm, NPN NO, detekcija &lt; 100mm, 10 – 30VDC</t>
  </si>
  <si>
    <t>G15-3A10PA</t>
  </si>
  <si>
    <t>Fotoćelija - Difuzna, 16x21mm, PNP NO, detekcija &lt; 100mm, 10 – 30VDC</t>
  </si>
  <si>
    <t>GEN500-DFR</t>
  </si>
  <si>
    <t>Fotoćelija - Difuzna, 18x50mm, RELAY 1A NO + NC, detekcija &lt; 500mm, 24 – 240V AC/DC</t>
  </si>
  <si>
    <t>G70-3A20PA</t>
  </si>
  <si>
    <t>Fotoćelija - Difuzna, 20x20mm, PNP NO, detekcija &lt; 200mm, 10 – 30VDC</t>
  </si>
  <si>
    <t>G12-3A07NA</t>
  </si>
  <si>
    <t>Fotoćelija - Difuzna, Φ12mm, NPN NO, detekcija &lt; 7cm, 10 – 30VDC</t>
  </si>
  <si>
    <t>G12-3A07PA</t>
  </si>
  <si>
    <t>Fotoćelija - Difuzna, Φ12mm, PNP NO, detekcija &lt; 7cm, 10 – 30VDC</t>
  </si>
  <si>
    <t>G18-3A10NC</t>
  </si>
  <si>
    <t>Fotoćelija - Difuzna, Φ18mm, NPN NO + NC, detekcija &lt; 100mm, 10 – 30VDC</t>
  </si>
  <si>
    <t>G18-3A30NC</t>
  </si>
  <si>
    <t>Fotoćelija - Difuzna, Φ18mm, NPN NO + NC, detekcija &lt; 300mm, 10 – 30VDC</t>
  </si>
  <si>
    <t>G18-3A30NA</t>
  </si>
  <si>
    <t>Fotoćelija - Difuzna, Φ18mm, NPN NO, detekcija &lt; 300mm, 10 – 30VDC</t>
  </si>
  <si>
    <t>G18-3A30PC</t>
  </si>
  <si>
    <t>Fotoćelija - Difuzna, Φ18mm, PNP NO + NC, detekcija &lt; 300mm, 10 – 30VDC</t>
  </si>
  <si>
    <t>G18-3A30PA</t>
  </si>
  <si>
    <t>Fotoćelija - Difuzna, Φ18mm, PNP NO, detekcija &lt; 300mm, 10 – 30VDC</t>
  </si>
  <si>
    <t>EL18-D1T40PA</t>
  </si>
  <si>
    <t>Fotoćelija - Difuzna, Φ18mm, PNP NO, detekcija &lt; 40mm, 10 – 30VDC</t>
  </si>
  <si>
    <t>G18-2A30LA</t>
  </si>
  <si>
    <t>Fotoćelija - Difuzna, Φ18mm, SCR NO, detekcija &lt; 300mm, 90 – 250VAC</t>
  </si>
  <si>
    <t>G30-3A70NC</t>
  </si>
  <si>
    <t>Fotoćelija - Difuzna, Φ30mm, NPN NO + NC, detekcija &lt; 500mm, 10 – 30VDC</t>
  </si>
  <si>
    <t>G30-3A70NA</t>
  </si>
  <si>
    <t>Fotoćelija - Difuzna, Φ30mm, NPN NO, detekcija &lt; 500mm, 10 – 30VDC</t>
  </si>
  <si>
    <t>G30-3A70PC</t>
  </si>
  <si>
    <t>Fotoćelija - Difuzna, Φ30mm, PNP NO + NC, detekcija &lt; 500mm, 10 – 30VDC</t>
  </si>
  <si>
    <t>G30-3A70PA</t>
  </si>
  <si>
    <t>Fotoćelija - Difuzna, Φ30mm, PNP NO, detekcija &lt; 500mm, 10 – 30VDC</t>
  </si>
  <si>
    <t>G30-2A70JC</t>
  </si>
  <si>
    <t>Fotoćelija - Difuzna, Φ30mm, RELE NO, detekcija &lt; 500mm, 90 – 250VAC</t>
  </si>
  <si>
    <t>E3S-GS3P1</t>
  </si>
  <si>
    <t>Fotoćelija - Primopredajna potkovica, 20x52mm, PNP NO, detekcija &lt; 30mm Procep, 10 – 30VDC</t>
  </si>
  <si>
    <t>G63-3E03NA</t>
  </si>
  <si>
    <t>Fotoćelija - Primopredajna sa Procepom, 20x52mm, NPN NO, detekcija &lt; 30mm Procep, 10 – 30VDC</t>
  </si>
  <si>
    <t>G63-3E03PC</t>
  </si>
  <si>
    <t>Fotoćelija - Primopredajna sa Procepom, 20x52mm, PNP NO + NC, detekcija &lt; 30mm Procep, 10 – 30VDC</t>
  </si>
  <si>
    <t>G63-3E03PA</t>
  </si>
  <si>
    <t>Fotoćelija - Primopredajna sa Procepom, 20x52mm, PNP NO, detekcija &lt; 30mm Procep, 10 – 30VDC</t>
  </si>
  <si>
    <t>G65-3E01NC</t>
  </si>
  <si>
    <t>Fotoćelija - Primopredajna sa Procepom, 20x65mm, NPN NO + NC, detekcija &lt; 9.5mm Procep, 10 – 30VDC</t>
  </si>
  <si>
    <t>G65-3E01NA</t>
  </si>
  <si>
    <t>Fotoćelija - Primopredajna sa Procepom, 20x65mm, NPN NO, detekcija &lt; 9.5mm Procep, 10 – 30VDC</t>
  </si>
  <si>
    <t>G65-3E01PC</t>
  </si>
  <si>
    <t>Fotoćelija - Primopredajna sa Procepom, 20x65mm, PNP NO + NC, detekcija &lt; 9.5mm Procep, 10 – 30VDC</t>
  </si>
  <si>
    <t>G65-3E01PA</t>
  </si>
  <si>
    <t>Fotoćelija - Primopredajna sa Procepom, 20x65mm, PNP NO, detekcija &lt; 9.5mm Procep, 10 – 30VDC</t>
  </si>
  <si>
    <t>GEN10M-TFR</t>
  </si>
  <si>
    <t>Fotoćelija - Primopredajna, 18x50mm, RELAY 1A NO + NC, detekcija &lt; 10m (primopredajnik), 24 – 240V AC/DC</t>
  </si>
  <si>
    <t>G18-3C5NC</t>
  </si>
  <si>
    <t>Fotoćelija - Primopredajna, Φ18mm, NPN NO + NC, detekcija &lt; 5m (primopredajnik), 10 – 30VDC</t>
  </si>
  <si>
    <t>G18-3C5NA</t>
  </si>
  <si>
    <t>Fotoćelija - Primopredajna, Φ18mm, NPN NO, detekcija &lt; 5m (primopredajnik), 10 – 30VDC</t>
  </si>
  <si>
    <t>G18-3C5PC</t>
  </si>
  <si>
    <t>Fotoćelija - Primopredajna, Φ18mm, PNP NO + NC, detekcija &lt; 5m (primopredajnik), 10 – 30VDC</t>
  </si>
  <si>
    <t>G18-3C5PA</t>
  </si>
  <si>
    <t>Fotoćelija - Primopredajna, Φ18mm, PNP NO, detekcija &lt; 5m (primopredajnik), 10 – 30VDC</t>
  </si>
  <si>
    <t>G18-2C5LA</t>
  </si>
  <si>
    <t>Fotoćelija - Primopredajna, Φ18mm, SCR NO, detekcija &lt; 5m (primopredajnik), 90 – 250VAC</t>
  </si>
  <si>
    <t>G30-3C101NA</t>
  </si>
  <si>
    <t>Fotoćelija - Primopredajna, Φ30mm, NPN NO, detekcija &lt; 10m (primopredajnik), 10 – 30VDC</t>
  </si>
  <si>
    <t>G30-3C101PA</t>
  </si>
  <si>
    <t>Fotoćelija - Primopredajna, Φ30mm, PNP NO, detekcija &lt; 10m (primopredajnik), 10 – 30VDC</t>
  </si>
  <si>
    <t>G30-2C101JC</t>
  </si>
  <si>
    <t>Fotoćelija - Primopredajna, Φ30mm, RELE NO, detekcija &lt; 10m (primopredajnik), 90 – 250VAC</t>
  </si>
  <si>
    <t>GEN5M-MFR</t>
  </si>
  <si>
    <t>Fotoćelija - Reflektivna, 18x50mm, RELAY 1A NO + NC, detekcija &lt; 5m (sa katadiopterom), 24 – 240V AC/DC</t>
  </si>
  <si>
    <t>G50-4B5JC</t>
  </si>
  <si>
    <t>Fotoćelija - Reflektivna, 18x50mm, RELAY NO + NC, detekcija &lt; 5m (sa katadiopterom), 24 – 240V AC/DC</t>
  </si>
  <si>
    <t>G70-3B2NA</t>
  </si>
  <si>
    <t>Fotoćelija - Reflektivna, 20x20mm, NPN NO, detekcija &lt; 2m (sa katadiopterom), 10 – 30VDC</t>
  </si>
  <si>
    <t>G70-3B2PA</t>
  </si>
  <si>
    <t>Fotoćelija - Reflektivna, 20x20mm, PNP NO, detekcija &lt; 2m (sa katadiopterom), 10 – 30VDC</t>
  </si>
  <si>
    <t>G12-3B1NA</t>
  </si>
  <si>
    <t>Fotoćelija - Reflektivna, Φ12mm, NPN NO, detekcija &lt; 1m (sa katadiopterom), 10 – 30VDC</t>
  </si>
  <si>
    <t>G12-3B1PA</t>
  </si>
  <si>
    <t>Fotoćelija - Reflektivna, Φ12mm, PNP NO, detekcija &lt; 1m (sa katadiopterom), 10 – 30VDC</t>
  </si>
  <si>
    <t>G18-3B2NC</t>
  </si>
  <si>
    <t>Fotoćelija - Reflektivna, Φ18mm, NPN NO + NC, detekcija &lt; 2m (sa katadiopterom), 10 – 30VDC</t>
  </si>
  <si>
    <t>G18-3B2NA</t>
  </si>
  <si>
    <t>Fotoćelija - Reflektivna, Φ18mm, NPN NO, detekcija &lt; 2m (sa katadiopterom), 10 – 30VDC</t>
  </si>
  <si>
    <t>G18-3B2PB</t>
  </si>
  <si>
    <t>Fotoćelija - Reflektivna, Φ18mm, PNP NC, detekcija &lt; 2m (sa katadiopterom), 10 – 30VDC</t>
  </si>
  <si>
    <t>G18-3B2PC</t>
  </si>
  <si>
    <t>Fotoćelija - Reflektivna, Φ18mm, PNP NO + NC, detekcija &lt; 2m (sa katadiopterom), 10 – 30VDC</t>
  </si>
  <si>
    <t>G18-3B2PA</t>
  </si>
  <si>
    <t>Fotoćelija - Reflektivna, Φ18mm, PNP NO, detekcija &lt; 2m (sa katadiopterom), 10 – 30VDC</t>
  </si>
  <si>
    <t>G18-2B2LA</t>
  </si>
  <si>
    <t>Fotoćelija - Reflektivna, Φ18mm, SCR NO, detekcija &lt; 2m (sa katadiopterom), 90 – 250VAC</t>
  </si>
  <si>
    <t>G30-3B3NC</t>
  </si>
  <si>
    <t>Fotoćelija - Reflektivna, Φ30mm, NPN NO + NC, detekcija &lt; 3m (sa katadiopterom), 10 – 30VDC</t>
  </si>
  <si>
    <t>G30-3B3NA</t>
  </si>
  <si>
    <t>Fotoćelija - Reflektivna, Φ30mm, NPN NO, detekcija &lt; 3m (sa katadiopterom), 10 – 30VDC</t>
  </si>
  <si>
    <t>G30-3B3PC</t>
  </si>
  <si>
    <t>Fotoćelija - Reflektivna, Φ30mm, PNP NO + NC, detekcija &lt; 3m (sa katadiopterom), 10 – 30VDC</t>
  </si>
  <si>
    <t>G30-3B3PA</t>
  </si>
  <si>
    <t>Fotoćelija - Reflektivna, Φ30mm, PNP NO, detekcija &lt; 3m (sa katadiopterom), 10 – 30VDC</t>
  </si>
  <si>
    <t>G30-2B3JC</t>
  </si>
  <si>
    <t>Fotoćelija - Reflektivna, Φ30mm, RELE NO, detekcija &lt; 3m (sa katadiopterom), 90 – 250VAC</t>
  </si>
  <si>
    <t>SM12-31010NA</t>
  </si>
  <si>
    <t>Hall Senzor - Φ12mm, NPN NO, detekcija &lt; 10mm, 5 – 24VDC</t>
  </si>
  <si>
    <t>SM12-31010PA</t>
  </si>
  <si>
    <t>Hall Senzor - Φ12mm, PNP NO, detekcija &lt; 10mm, 5 – 24VDC</t>
  </si>
  <si>
    <t>LMF2-3005NA</t>
  </si>
  <si>
    <t>Induktivni Senzor - 17x17mm, NPN NO, detekcija &lt; 5mm, 6 – 36VDC</t>
  </si>
  <si>
    <t>LMF2-3005PA</t>
  </si>
  <si>
    <t>Induktivni Senzor - 17x17mm, PNP NO, detekcija &lt; 5mm, 6 – 36VDC</t>
  </si>
  <si>
    <t>LMF7-3015NA</t>
  </si>
  <si>
    <t>Induktivni Senzor - 30x30mm, NPN NO, detekcija &lt; 15mm, 6 – 36VDC</t>
  </si>
  <si>
    <t>LMF7-3015PC</t>
  </si>
  <si>
    <t>Induktivni Senzor - 30x30mm, PNP NO + NC, detekcija &lt; 15mm, 6 – 36VDC</t>
  </si>
  <si>
    <t>LMF7-3015PA</t>
  </si>
  <si>
    <t>Induktivni Senzor - 30x30mm, PNP NO, detekcija &lt; 15mm, 6 – 36VDC</t>
  </si>
  <si>
    <t>LMF7-2015A</t>
  </si>
  <si>
    <t>Induktivni Senzor - 30x30mm, SCR NO, detekcija &lt; 15mm, 90 – 250VAC</t>
  </si>
  <si>
    <t>LMF38-3040NA</t>
  </si>
  <si>
    <t>Induktivni Senzor - 80x80mm, NPN NO, detekcija &lt; 40mm, 6 – 36VDC</t>
  </si>
  <si>
    <t>LMF38-3040PA</t>
  </si>
  <si>
    <t>Induktivni Senzor - 80x80mm, PNP NO, detekcija &lt; 40mm, 6 – 36VDC</t>
  </si>
  <si>
    <t>LMF15-3004NA</t>
  </si>
  <si>
    <t>Induktivni Senzor - Φ10mm, NPN NO, detekcija &lt; 4mm, 6 – 36VDC</t>
  </si>
  <si>
    <t>LMF15-3004PA</t>
  </si>
  <si>
    <t>Induktivni Senzor - Φ10mm, PNP NO, detekcija &lt; 4mm, 6 – 36VDC</t>
  </si>
  <si>
    <t>LM12-3002LA</t>
  </si>
  <si>
    <t>Induktivni Senzor - Φ12mm, Dvožična Veza NO, detekcija &lt; 2mm, 6 – 36VDC</t>
  </si>
  <si>
    <t>LM12-3004LA</t>
  </si>
  <si>
    <t>Induktivni Senzor - Φ12mm, Dvožična Veza NO, detekcija &lt; 4mm, 6 – 36VDC</t>
  </si>
  <si>
    <t>ITK-12NC4C</t>
  </si>
  <si>
    <t>Induktivni Senzor - Φ12mm, NPN NC, detekcija &lt; 4mm, 10 – 30VDC</t>
  </si>
  <si>
    <t>LM12-3004NB</t>
  </si>
  <si>
    <t>Induktivni Senzor - Φ12mm, NPN NC, detekcija &lt; 4mm, 6 – 36VDC</t>
  </si>
  <si>
    <t>LM12-3002NC</t>
  </si>
  <si>
    <t>Induktivni Senzor - Φ12mm, NPN NO + NC, detekcija &lt; 2mm, 6 – 36VDC</t>
  </si>
  <si>
    <t>LM12-3004NC</t>
  </si>
  <si>
    <t>Induktivni Senzor - Φ12mm, NPN NO + NC, detekcija &lt; 4mm, 6 – 36VDC</t>
  </si>
  <si>
    <t>ITK-12N2C</t>
  </si>
  <si>
    <t>Induktivni Senzor - Φ12mm, NPN NO, detekcija &lt; 2mm, 10 – 30VDC</t>
  </si>
  <si>
    <t>LM12-3002NA</t>
  </si>
  <si>
    <t>Induktivni Senzor - Φ12mm, NPN NO, detekcija &lt; 2mm, 6 – 36VDC</t>
  </si>
  <si>
    <t>ITK-12N4C</t>
  </si>
  <si>
    <t>Induktivni Senzor - Φ12mm, NPN NO, detekcija &lt; 4mm, 10 – 30VDC</t>
  </si>
  <si>
    <t>LM12-3004NA</t>
  </si>
  <si>
    <t>Induktivni Senzor - Φ12mm, NPN NO, detekcija &lt; 4mm, 6 – 36VDC</t>
  </si>
  <si>
    <t>LM12-3004PB</t>
  </si>
  <si>
    <t>Induktivni Senzor - Φ12mm, PNP NC, detekcija &lt; 4mm, 6 – 36VDC</t>
  </si>
  <si>
    <t>LM12-3002PC</t>
  </si>
  <si>
    <t>Induktivni Senzor - Φ12mm, PNP NO + NC, detekcija &lt; 2mm, 6 – 36VDC</t>
  </si>
  <si>
    <t>LM12-3004PC</t>
  </si>
  <si>
    <t>Induktivni Senzor - Φ12mm, PNP NO + NC, detekcija &lt; 4mm, 6 – 36VDC</t>
  </si>
  <si>
    <t>ITK-12P2C</t>
  </si>
  <si>
    <t>Induktivni Senzor - Φ12mm, PNP NO, detekcija &lt; 2mm, 10 – 30VDC</t>
  </si>
  <si>
    <t>LM12-3002PA</t>
  </si>
  <si>
    <t>Induktivni Senzor - Φ12mm, PNP NO, detekcija &lt; 2mm, 6 – 36VDC</t>
  </si>
  <si>
    <t>ITK-12P4C</t>
  </si>
  <si>
    <t>Induktivni Senzor - Φ12mm, PNP NO, detekcija &lt; 4mm, 10 – 30VDC</t>
  </si>
  <si>
    <t>LM12-3004PA</t>
  </si>
  <si>
    <t>Induktivni Senzor - Φ12mm, PNP NO, detekcija &lt; 4mm, 6 – 36VDC</t>
  </si>
  <si>
    <t>LM12-33008PA-L</t>
  </si>
  <si>
    <t>Induktivni Senzor - Φ12mm, PNP NO, detekcija &lt; 8mm, 6 – 36VDC</t>
  </si>
  <si>
    <t>LM12-3002NAT</t>
  </si>
  <si>
    <t>Induktivni Senzor - Φ12mm, Sa 90° Konektorom, NPN NO, detekcija &lt; 2mm, 6 – 36VDC</t>
  </si>
  <si>
    <t>LM12-3004NAT</t>
  </si>
  <si>
    <t>Induktivni Senzor - Φ12mm, Sa 90° Konektorom, NPN NO, detekcija &lt; 4mm, 6 – 36VDC</t>
  </si>
  <si>
    <t>LM12-3004PCT</t>
  </si>
  <si>
    <t>Induktivni Senzor - Φ12mm, Sa 90° Konektorom, PNP NO + NC, detekcija &lt; 4mm, 6 – 36VDC</t>
  </si>
  <si>
    <t>LM12-3002PAT</t>
  </si>
  <si>
    <t>Induktivni Senzor - Φ12mm, Sa 90° Konektorom, PNP NO, detekcija &lt; 2mm, 6 – 36VDC</t>
  </si>
  <si>
    <t>LM12-3004PAT</t>
  </si>
  <si>
    <t>Induktivni Senzor - Φ12mm, Sa 90° Konektorom, PNP NO, detekcija &lt; 4mm, 6 – 36VDC</t>
  </si>
  <si>
    <t>LM12-3004NAT3</t>
  </si>
  <si>
    <t>Induktivni Senzor - Φ12mm, Sa Konektorom, NPN NO, detekcija &lt; 4mm, 6 – 36VDC</t>
  </si>
  <si>
    <t>LM12-3002PAT3</t>
  </si>
  <si>
    <t>Induktivni Senzor - Φ12mm, Sa Konektorom, PNP NO, detekcija &lt; 2mm, 6 – 36VDC</t>
  </si>
  <si>
    <t>LM12-3004PAT3</t>
  </si>
  <si>
    <t>Induktivni Senzor - Φ12mm, Sa Konektorom, PNP NO, detekcija &lt; 4mm, 6 – 36VDC</t>
  </si>
  <si>
    <t>LM12-2004B</t>
  </si>
  <si>
    <t>Induktivni Senzor - Φ12mm, SCR NC, detekcija &lt; 4mm, 90 – 250VAC</t>
  </si>
  <si>
    <t>LM12-2004A</t>
  </si>
  <si>
    <t>Induktivni Senzor - Φ12mm, SCR NO, detekcija &lt; 4mm, 90 – 250VAC</t>
  </si>
  <si>
    <t>LM18-3005LA</t>
  </si>
  <si>
    <t>Induktivni Senzor - Φ18mm, Dvožična Veza NO, detekcija &lt; 5mm, 6 – 36VDC</t>
  </si>
  <si>
    <t>LM18-3008LA</t>
  </si>
  <si>
    <t>Induktivni Senzor - Φ18mm, Dvožična Veza NO, detekcija &lt; 8mm, 6 – 36VDC</t>
  </si>
  <si>
    <t>LM18-3005NC</t>
  </si>
  <si>
    <t>Induktivni Senzor - Φ18mm, NPN NO + NC, detekcija &lt; 5mm, 6 – 36VDC</t>
  </si>
  <si>
    <t>LM18-3008NC</t>
  </si>
  <si>
    <t>Induktivni Senzor - Φ18mm, NPN NO + NC, detekcija &lt; 8mm, 6 – 36VDC</t>
  </si>
  <si>
    <t>ITK-18N5C</t>
  </si>
  <si>
    <t>Induktivni Senzor - Φ18mm, NPN NO, detekcija &lt; 5mm, 10 – 30VDC</t>
  </si>
  <si>
    <t>LM18-3005NA</t>
  </si>
  <si>
    <t>Induktivni Senzor - Φ18mm, NPN NO, detekcija &lt; 5mm, 6 – 36VDC</t>
  </si>
  <si>
    <t>ITK-18N8C</t>
  </si>
  <si>
    <t>Induktivni Senzor - Φ18mm, NPN NO, detekcija &lt; 8mm, 10 – 30VDC</t>
  </si>
  <si>
    <t>LM18-3008NA</t>
  </si>
  <si>
    <t>Induktivni Senzor - Φ18mm, NPN NO, detekcija &lt; 8mm, 6 – 36VDC</t>
  </si>
  <si>
    <t>ITK-18PC5C</t>
  </si>
  <si>
    <t>Induktivni Senzor - Φ18mm, PNP NC, detekcija &lt; 5mm, 10 – 30VDC</t>
  </si>
  <si>
    <t>LM18-3005PB</t>
  </si>
  <si>
    <t>Induktivni Senzor - Φ18mm, PNP NC, detekcija &lt; 5mm, 6 – 36VDC</t>
  </si>
  <si>
    <t>LM18-3008PB</t>
  </si>
  <si>
    <t>Induktivni Senzor - Φ18mm, PNP NC, detekcija &lt; 8mm, 6 – 36VDC</t>
  </si>
  <si>
    <t>LM18-3005PC</t>
  </si>
  <si>
    <t>Induktivni Senzor - Φ18mm, PNP NO + NC, detekcija &lt; 5mm, 6 – 36VDC</t>
  </si>
  <si>
    <t>LM18-3008PC</t>
  </si>
  <si>
    <t>Induktivni Senzor - Φ18mm, PNP NO + NC, detekcija &lt; 8mm, 6 – 36VDC</t>
  </si>
  <si>
    <t>LM18-33016PA-L</t>
  </si>
  <si>
    <t>Induktivni Senzor - Φ18mm, PNP NO, detekcija &lt; 16mm, 6 – 36VDC</t>
  </si>
  <si>
    <t>ITK-18P5C</t>
  </si>
  <si>
    <t>Induktivni Senzor - Φ18mm, PNP NO, detekcija &lt; 5mm, 10 – 30VDC</t>
  </si>
  <si>
    <t>LM18-3005PA</t>
  </si>
  <si>
    <t>Induktivni Senzor - Φ18mm, PNP NO, detekcija &lt; 5mm, 6 – 36VDC</t>
  </si>
  <si>
    <t>ITK-18P8C</t>
  </si>
  <si>
    <t>Induktivni Senzor - Φ18mm, PNP NO, detekcija &lt; 8mm, 10 – 30VDC</t>
  </si>
  <si>
    <t>LM18-3008PA</t>
  </si>
  <si>
    <t>Induktivni Senzor - Φ18mm, PNP NO, detekcija &lt; 8mm, 6 – 36VDC</t>
  </si>
  <si>
    <t>LM18-3005PAT</t>
  </si>
  <si>
    <t>Induktivni Senzor - Φ18mm, Sa 90° Konektorom, PNP NO, detekcija &lt; 5mm, 6 – 36VDC</t>
  </si>
  <si>
    <t>LM18-3008PAT</t>
  </si>
  <si>
    <t>Induktivni Senzor - Φ18mm, Sa 90° Konektorom, PNP NO, detekcija &lt; 8mm, 6 – 36VDC</t>
  </si>
  <si>
    <t>LM18-3005PAT3</t>
  </si>
  <si>
    <t>Induktivni Senzor - Φ18mm, Sa Konektorom, PNP NO, detekcija &lt; 5mm, 6 – 36VDC</t>
  </si>
  <si>
    <t>LM18-3008PAT3</t>
  </si>
  <si>
    <t>Induktivni Senzor - Φ18mm, Sa Konektorom, PNP NO, detekcija &lt; 8mm, 6 – 36VDC</t>
  </si>
  <si>
    <t>LM18-2005B</t>
  </si>
  <si>
    <t>Induktivni Senzor - Φ18mm, SCR NC, detekcija &lt; 5mm, 90 – 250VAC</t>
  </si>
  <si>
    <t>LM18-2008B</t>
  </si>
  <si>
    <t>Induktivni Senzor - Φ18mm, SCR NC, detekcija &lt; 8mm, 90 – 250VAC</t>
  </si>
  <si>
    <t>LM18-2005A</t>
  </si>
  <si>
    <t>Induktivni Senzor - Φ18mm, SCR NO, detekcija &lt; 5mm, 90 – 250VAC</t>
  </si>
  <si>
    <t>LM18-2008A</t>
  </si>
  <si>
    <t>Induktivni Senzor - Φ18mm, SCR NO, detekcija &lt; 8mm, 90 – 250VAC</t>
  </si>
  <si>
    <t>LM30-3010LA</t>
  </si>
  <si>
    <t>Induktivni Senzor - Φ30mm, Dvožična Veza NO, detekcija &lt; 10mm, 6 – 36VDC</t>
  </si>
  <si>
    <t>LM30-3015LA</t>
  </si>
  <si>
    <t>Induktivni Senzor - Φ30mm, Dvožična Veza NO, detekcija &lt; 15mm, 6 – 36VDC</t>
  </si>
  <si>
    <t>LM30-3010NC</t>
  </si>
  <si>
    <t>Induktivni Senzor - Φ30mm, NPN NO + NC, detekcija &lt; 10mm, 6 – 36VDC</t>
  </si>
  <si>
    <t>LM30-3015NC</t>
  </si>
  <si>
    <t>Induktivni Senzor - Φ30mm, NPN NO + NC, detekcija &lt; 15mm, 6 – 36VDC</t>
  </si>
  <si>
    <t>LM30-3010NA</t>
  </si>
  <si>
    <t>Induktivni Senzor - Φ30mm, NPN NO, detekcija &lt; 10mm, 6 – 36VDC</t>
  </si>
  <si>
    <t>LM30-3015NA</t>
  </si>
  <si>
    <t>Induktivni Senzor - Φ30mm, NPN NO, detekcija &lt; 15mm, 6 – 36VDC</t>
  </si>
  <si>
    <t>LM30-3010PC</t>
  </si>
  <si>
    <t>Induktivni Senzor - Φ30mm, PNP NO + NC, detekcija &lt; 10mm, 6 – 36VDC</t>
  </si>
  <si>
    <t>LM30-3015PC</t>
  </si>
  <si>
    <t>Induktivni Senzor - Φ30mm, PNP NO + NC, detekcija &lt; 15mm, 6 – 36VDC</t>
  </si>
  <si>
    <t>LM30-3010PA</t>
  </si>
  <si>
    <t>Induktivni Senzor - Φ30mm, PNP NO, detekcija &lt; 10mm, 6 – 36VDC</t>
  </si>
  <si>
    <t>LM30-3015PA</t>
  </si>
  <si>
    <t>Induktivni Senzor - Φ30mm, PNP NO, detekcija &lt; 15mm, 6 – 36VDC</t>
  </si>
  <si>
    <t>LM30-33025PA-L</t>
  </si>
  <si>
    <t>Induktivni Senzor - Φ30mm, PNP NO, detekcija &lt; 25mm, 6 – 36VDC</t>
  </si>
  <si>
    <t>LM30-3015PAT</t>
  </si>
  <si>
    <t>Induktivni Senzor - Φ30mm, Sa 90° Konektorom, PNP NO, detekcija &lt; 15mm, 6 – 36VDC</t>
  </si>
  <si>
    <t>LM30-2010B</t>
  </si>
  <si>
    <t>Induktivni Senzor - Φ30mm, SCR NC, detekcija &lt; 10mm, 90 – 250VAC</t>
  </si>
  <si>
    <t>LM30-2015B</t>
  </si>
  <si>
    <t>Induktivni Senzor - Φ30mm, SCR NC, detekcija &lt; 15mm, 90 – 250VAC</t>
  </si>
  <si>
    <t>LM30-2010C</t>
  </si>
  <si>
    <t>Induktivni Senzor - Φ30mm, SCR NO + NC, detekcija &lt; 10mm, 90 – 250VAC</t>
  </si>
  <si>
    <t>LM30-2015C</t>
  </si>
  <si>
    <t>Induktivni Senzor - Φ30mm, SCR NO + NC, detekcija &lt; 15mm, 90 – 250VAC</t>
  </si>
  <si>
    <t>LM30-2010A</t>
  </si>
  <si>
    <t>Induktivni Senzor - Φ30mm, SCR NO, detekcija &lt; 10mm, 90 – 250VAC</t>
  </si>
  <si>
    <t>LM30-2015A</t>
  </si>
  <si>
    <t>Induktivni Senzor - Φ30mm, SCR NO, detekcija &lt; 15mm, 90 – 250VAC</t>
  </si>
  <si>
    <t>LM480-3025NA</t>
  </si>
  <si>
    <t>Induktivni Senzor - Φ40mm, NPN NO, detekcija &lt; 25mm, 6 – 36VDC</t>
  </si>
  <si>
    <t>LM480-3025PA</t>
  </si>
  <si>
    <t>Induktivni Senzor - Φ40mm, PNP NO, detekcija &lt; 25mm, 6 – 36VDC</t>
  </si>
  <si>
    <t>LM480-2025A</t>
  </si>
  <si>
    <t>Induktivni Senzor - Φ40mm, SCR NO, detekcija &lt; 25mm, 90 – 250VAC</t>
  </si>
  <si>
    <t>LM05-3001NA</t>
  </si>
  <si>
    <t>Induktivni Senzor - Φ5mm, NPN NO, detekcija &lt; 1mm, 12 – 24VDC</t>
  </si>
  <si>
    <t>LM05-3001PA</t>
  </si>
  <si>
    <t>Induktivni Senzor - Φ5mm, PNP NO, detekcija &lt; 1mm, 10 – 30VDC</t>
  </si>
  <si>
    <t>LM6-3001NA</t>
  </si>
  <si>
    <t>Induktivni Senzor - Φ6mm, NPN NO, detekcija &lt; 1mm, 12 – 24VDC</t>
  </si>
  <si>
    <t>LM06-3001NA</t>
  </si>
  <si>
    <t>Induktivni Senzor - Φ6mm, NPN NO, detekcija &lt; 1mm, 6 – 36VDC</t>
  </si>
  <si>
    <t>LM6-3002NA</t>
  </si>
  <si>
    <t>Induktivni Senzor - Φ6mm, NPN NO, detekcija &lt; 2mm, 6 – 36VDC</t>
  </si>
  <si>
    <t>LM6-3001PA</t>
  </si>
  <si>
    <t>Induktivni Senzor - Φ6mm, PNP NO, detekcija &lt; 1mm, 12 – 24VDC</t>
  </si>
  <si>
    <t>LM06-3001PA</t>
  </si>
  <si>
    <t>Induktivni Senzor - Φ6mm, PNP NO, detekcija &lt; 1mm, 6 – 36VDC</t>
  </si>
  <si>
    <t>LM6-3002PA</t>
  </si>
  <si>
    <t>Induktivni Senzor - Φ6mm, PNP NO, detekcija &lt; 2mm, 6 – 36VDC</t>
  </si>
  <si>
    <t>LM08-3001NA</t>
  </si>
  <si>
    <t>Induktivni Senzor - Φ8mm, NPN NO, detekcija &lt; 1mm, 6 – 36VDC</t>
  </si>
  <si>
    <t>LM08-3002NA</t>
  </si>
  <si>
    <t>Induktivni Senzor - Φ8mm, NPN NO, detekcija &lt; 2mm, 10 – 30VDC</t>
  </si>
  <si>
    <t>LM08-3001PA</t>
  </si>
  <si>
    <t>Induktivni Senzor - Φ8mm, PNP NO, detekcija &lt; 1mm, 10 – 30VDC</t>
  </si>
  <si>
    <t>LM08-3002PA</t>
  </si>
  <si>
    <t>Induktivni Senzor - Φ8mm, PNP NO, detekcija &lt; 2mm, 6 – 36VDC</t>
  </si>
  <si>
    <t>LM08-33004PA-L</t>
  </si>
  <si>
    <t>Induktivni Senzor - Φ8mm, PNP NO, detekcija &lt; 4mm, 6 – 36VDC</t>
  </si>
  <si>
    <t>LM08-2002A</t>
  </si>
  <si>
    <t>Induktivni Senzor - Φ8mm, SCR NO, detekcija &lt; 2mm, 90 – 250VAC</t>
  </si>
  <si>
    <t>FS-IR02</t>
  </si>
  <si>
    <t>Infracrveni Senzor Nivoa Vode - Izlaz Otvoren Kolektor, 12mA, 5VDC</t>
  </si>
  <si>
    <t>CM12-3002NA</t>
  </si>
  <si>
    <t>Kapacitivni Senzor - Φ12mm, NPN NO, detekcija &lt; 2mm, 6 – 36VDC</t>
  </si>
  <si>
    <t>CM12-3004NA</t>
  </si>
  <si>
    <t>Kapacitivni Senzor - Φ12mm, NPN NO, detekcija &lt; 4mm, 6 – 36VDC</t>
  </si>
  <si>
    <t>CM12-3002PA</t>
  </si>
  <si>
    <t>Kapacitivni Senzor - Φ12mm, PNP NO, detekcija &lt; 2mm, 6 – 36VDC</t>
  </si>
  <si>
    <t>CM12-3004PA</t>
  </si>
  <si>
    <t>Kapacitivni Senzor - Φ12mm, PNP NO, detekcija &lt; 4mm, 6 – 36VDC</t>
  </si>
  <si>
    <t>CM18-3005NC</t>
  </si>
  <si>
    <t>Kapacitivni Senzor - Φ18mm, NPN NO + NC, detekcija &lt; 5mm, 6 – 36VDC</t>
  </si>
  <si>
    <t>CM18-3005NA</t>
  </si>
  <si>
    <t>Kapacitivni Senzor - Φ18mm, NPN NO, detekcija &lt; 5mm, 6 – 36VDC</t>
  </si>
  <si>
    <t>CM18-3008NA</t>
  </si>
  <si>
    <t>Kapacitivni Senzor - Φ18mm, NPN NO, detekcija &lt; 8mm, 6 – 36VDC</t>
  </si>
  <si>
    <t>CM18-3005PC</t>
  </si>
  <si>
    <t>Kapacitivni Senzor - Φ18mm, PNP NO + NC, detekcija &lt; 5mm, 6 – 36VDC</t>
  </si>
  <si>
    <t>CM18-3008PC</t>
  </si>
  <si>
    <t>Kapacitivni Senzor - Φ18mm, PNP NO + NC, detekcija &lt; 8mm, 6 – 36VDC</t>
  </si>
  <si>
    <t>CM18-3005PA</t>
  </si>
  <si>
    <t>Kapacitivni Senzor - Φ18mm, PNP NO, detekcija &lt; 5mm, 6 – 36VDC</t>
  </si>
  <si>
    <t>CM18-3008PA</t>
  </si>
  <si>
    <t>Kapacitivni Senzor - Φ18mm, PNP NO, detekcija &lt; 8mm, 6 – 36VDC</t>
  </si>
  <si>
    <t>CM18-2005B</t>
  </si>
  <si>
    <t>Kapacitivni Senzor - Φ18mm, SCR NC, detekcija &lt; 5mm, 90 – 250VAC</t>
  </si>
  <si>
    <t>CM18-2008B</t>
  </si>
  <si>
    <t>Kapacitivni Senzor - Φ18mm, SCR NC, detekcija &lt; 8mm, 90 – 250VAC</t>
  </si>
  <si>
    <t>CM18-2005A</t>
  </si>
  <si>
    <t>Kapacitivni Senzor - Φ18mm, SCR NO, detekcija &lt; 5mm, 90 – 250VAC</t>
  </si>
  <si>
    <t>CM18-2008A</t>
  </si>
  <si>
    <t>Kapacitivni Senzor - Φ18mm, SCR NO, detekcija &lt; 8mm, 90 – 250VAC</t>
  </si>
  <si>
    <t>CM30-3010NA</t>
  </si>
  <si>
    <t>Kapacitivni Senzor - Φ30mm, NPN NO, detekcija &lt; 10mm, 6 – 36VDC</t>
  </si>
  <si>
    <t>CM30-3015NA</t>
  </si>
  <si>
    <t>Kapacitivni Senzor - Φ30mm, NPN NO, detekcija &lt; 15mm, 6 – 36VDC</t>
  </si>
  <si>
    <t>CM30-3010PA</t>
  </si>
  <si>
    <t>Kapacitivni Senzor - Φ30mm, PNP NO, detekcija &lt; 10mm, 6 – 36VDC</t>
  </si>
  <si>
    <t>CM30-3015PA</t>
  </si>
  <si>
    <t>Kapacitivni Senzor - Φ30mm, PNP NO, detekcija &lt; 15mm, 6 – 36VDC</t>
  </si>
  <si>
    <t>CM30-2010B</t>
  </si>
  <si>
    <t>Kapacitivni Senzor - Φ30mm, SCR NC, detekcija &lt; 10mm, 90 – 250VAC</t>
  </si>
  <si>
    <t>CM30-2015B</t>
  </si>
  <si>
    <t>Kapacitivni Senzor - Φ30mm, SCR NC, detekcija &lt; 15mm, 90 – 250VAC</t>
  </si>
  <si>
    <t>CM30-2010A</t>
  </si>
  <si>
    <t>Kapacitivni Senzor - Φ30mm, SCR NO, detekcija &lt; 10mm, 90 – 250VAC</t>
  </si>
  <si>
    <t>CM30-2015A</t>
  </si>
  <si>
    <t>Kapacitivni Senzor - Φ30mm, SCR NO, detekcija &lt; 15mm, 90 – 250VAC</t>
  </si>
  <si>
    <t>KS-C2 Beli NPN</t>
  </si>
  <si>
    <t>Kolor Mark Senzor - Beli, NPN, detekcija 10mm, 10 – 30VDC</t>
  </si>
  <si>
    <t>KS-C2 Beli PNP</t>
  </si>
  <si>
    <t>Kolor Mark Senzor - Beli, PNP, detekcija 10mm, 10 – 30VDC</t>
  </si>
  <si>
    <t>KS-C2 Plavi PNP</t>
  </si>
  <si>
    <t>Kolor Mark Senzor - Plavi, PNP, detekcija 10mm, 10 – 30VDC</t>
  </si>
  <si>
    <t>HW50-W RGB NPN + PNP</t>
  </si>
  <si>
    <t>Kolor Mark Senzor - RGB, NPN + PNP, detekcija 12mm, 10 – 30VDC</t>
  </si>
  <si>
    <t>KS-C2-TW22 Zeleni ili Beli PNP</t>
  </si>
  <si>
    <t>Kolor Mark Senzor - Zeleni ili Beli, PNP, detekcija 10mm, 10 – 30VDC</t>
  </si>
  <si>
    <t>KS-C2 Zeleni NPN</t>
  </si>
  <si>
    <t>Kolor Mark Senzor - Zeleni, NPN, detekcija 10mm, 10 – 30VDC</t>
  </si>
  <si>
    <t>KS-C2 Zeleni PNP</t>
  </si>
  <si>
    <t>Kolor Mark Senzor - Zeleni, PNP, detekcija 10mm, 10 – 30VDC</t>
  </si>
  <si>
    <t>E3F-20C1/20L</t>
  </si>
  <si>
    <t>Laserski Primopredajnik - Φ12mm, NPN NO, detekcija &lt; 20m, 10 – 30VDC</t>
  </si>
  <si>
    <t>XM18-3008PMU</t>
  </si>
  <si>
    <t>Linearni Induktivni Senzor - Φ18mm, PNP, detekcija &lt; 8mm, izlaz 0 – 10VDC, 15 – 30VDC</t>
  </si>
  <si>
    <t>XM18-3008PMI</t>
  </si>
  <si>
    <t>Linearni Induktivni Senzor - Φ18mm, PNP, detekcija &lt; 8mm, izlaz 4 – 20mA, 15 – 30VDC</t>
  </si>
  <si>
    <t>XM30-D6PMU15</t>
  </si>
  <si>
    <t>Linearni Induktivni Senzor - Φ30mm, PNP, detekcija &lt; 15mm, izlaz 0 – 10VDC, 15 – 30VDC</t>
  </si>
  <si>
    <t>XM30-3015PMI</t>
  </si>
  <si>
    <t>Linearni Induktivni Senzor - Φ30mm, PNP, detekcija &lt; 15mm, izlaz 4 – 20mA, 15 – 30VDC</t>
  </si>
  <si>
    <t>PT124B 10Mpa</t>
  </si>
  <si>
    <t>Melt Senzor Pritiska - Opseg 0 – 10 MPa, Izlaz 4-20mA, Navoj M14x1.5, 24VDC</t>
  </si>
  <si>
    <t>PT124B 5Mpa</t>
  </si>
  <si>
    <t>Melt Senzor Pritiska - Opseg 0 – 5 MPa, Izlaz 4-20mA, Navoj M14x1.5, 24VDC</t>
  </si>
  <si>
    <t>PT124K 70Mpa</t>
  </si>
  <si>
    <t>Melt Senzor Pritiska - Opseg 0 – 70 MPa, Izlaz 2.0mV/V, Navoj M14x1.5, 6 – 12VDC</t>
  </si>
  <si>
    <t>PT124K 50Mpa sa PY208</t>
  </si>
  <si>
    <t>Melt Senzor Pritiska sa Digitalnim Panelmetrom - Opseg 0 – 50 MPa, Izlaz Rele, LED displej 2x4 cifre, 6 – 12VDC, M14x1.5</t>
  </si>
  <si>
    <t>DHC1X</t>
  </si>
  <si>
    <t>Nivo Sonda - Koristi se sa releom nivoa tečnosti</t>
  </si>
  <si>
    <t>Nivostat</t>
  </si>
  <si>
    <t>Nivostat - Max 220VDC / 1.5A, NC</t>
  </si>
  <si>
    <t>ZWP-T91-K 10m</t>
  </si>
  <si>
    <t>Senzor Nivoa - 0 – 10m, 13m kabl, izlaz 4 – 20mA, 12 – 36VDC</t>
  </si>
  <si>
    <t>MPM489W 13-E-22-Yc</t>
  </si>
  <si>
    <t>Senzor Nivoa - 0 – 10m, izlaz 4 – 20mA, 12 – 28VDC</t>
  </si>
  <si>
    <t>MPM489W 17-E-22-Yc</t>
  </si>
  <si>
    <t>Senzor Nivoa - 0 – 15m, izlaz 4 – 20mA, 12 – 28VDC</t>
  </si>
  <si>
    <t>MPM489W 2-E-22-Yc</t>
  </si>
  <si>
    <t>Senzor Nivoa - 0 – 1m, izlaz 4 – 20mA, 12 – 28VDC</t>
  </si>
  <si>
    <t>MPM489W 25-E-22-Yc</t>
  </si>
  <si>
    <t>Senzor Nivoa - 0 – 20m, izlaz 4 – 20mA, 12 – 28VDC</t>
  </si>
  <si>
    <t>ZWP-T91-K 2m</t>
  </si>
  <si>
    <t>Senzor Nivoa - 0 – 2m, 3m kabl, izlaz 4 – 20mA, 12 – 36VDC</t>
  </si>
  <si>
    <t>Senzor Nivoa - 0 – 2m, 4m kabl, izlaz 4 – 20mA, 12 – 36VDC</t>
  </si>
  <si>
    <t>MPM489W 3-E-22-Yc</t>
  </si>
  <si>
    <t>Senzor Nivoa - 0 – 2m, izlaz 4 – 20mA, 12 – 28VDC</t>
  </si>
  <si>
    <t>ZWP-T91-K 30m</t>
  </si>
  <si>
    <t>Senzor Nivoa - 0 – 30m, 35m kabl, izlaz 4 – 20mA, 24VDC</t>
  </si>
  <si>
    <t>MPM489W 35-E-22-Yc</t>
  </si>
  <si>
    <t>Senzor Nivoa - 0 – 30m, izlaz 4 – 20mA, 12 – 28VDC</t>
  </si>
  <si>
    <t>MPM489W 4-E-22-Yc</t>
  </si>
  <si>
    <t>Senzor Nivoa - 0 – 3m, izlaz 4 – 20mA, 12 – 28VDC</t>
  </si>
  <si>
    <t>ZWP-T91-K 5m</t>
  </si>
  <si>
    <t>Senzor Nivoa - 0 – 5m, 7m kabl, izlaz 4 – 20mA, 12 – 36VDC</t>
  </si>
  <si>
    <t>MPM489W 7-E-22-Yc</t>
  </si>
  <si>
    <t>Senzor Nivoa - 0 – 5m, izlaz 4 – 20mA, 12 – 28VDC</t>
  </si>
  <si>
    <t>ZWP-T91-K 7m</t>
  </si>
  <si>
    <t>Senzor Nivoa - 0 – 7m, 9m kabl, izlaz 4 – 20mA, 12 – 36VDC</t>
  </si>
  <si>
    <t>MPM489W 12-E-22-M1</t>
  </si>
  <si>
    <t>Senzor Nivoa sa Indikatorom - 0 – 10m, izlaz 4 – 20mA, 12 – 28VDC</t>
  </si>
  <si>
    <t>MPM489W 2-E-22-M1</t>
  </si>
  <si>
    <t>Senzor Nivoa sa Indikatorom - 0 – 1m, izlaz 4 – 20mA, 12 – 28VDC</t>
  </si>
  <si>
    <t>MPM489W 7-E-22-M1</t>
  </si>
  <si>
    <t>Senzor Nivoa sa Indikatorom - 0 – 5m, izlaz 4 – 20mA, 12 – 28VDC</t>
  </si>
  <si>
    <t>MPM489 (-0.1 ~ 0)MPa E-22-B1-1/4NPT-G</t>
  </si>
  <si>
    <t>Senzor Pritiska - Opseg -0.1 – 0 MPa, Izlaz 4 – 20mA, 8 – 28VDC, 1/4NPT-G</t>
  </si>
  <si>
    <t>MPM489 (-0.1 ~ 0)MPa E-22-B1-C1-G</t>
  </si>
  <si>
    <t>Senzor Pritiska - Opseg -0.1 – 0 MPa, Izlaz 4 – 20mA, 8 – 28VDC, M20x1.5</t>
  </si>
  <si>
    <t>MPM489 (-0.1 ~ 0.1)MPa E-22-B1-1/4NPT-G</t>
  </si>
  <si>
    <t>Senzor Pritiska - Opseg -0.1 – 0.1 MPa, Izlaz 4 – 20mA, 8 – 28VDC, 1/4NPT-G</t>
  </si>
  <si>
    <t>MPM489 (-0.1 ~ 1)MPa E-22-B1-1/4NPT-G</t>
  </si>
  <si>
    <t>Senzor Pritiska - Opseg -0.1 – 1 MPa, Izlaz 4 – 20mA, 8 – 28VDC, 1/4NPT-G</t>
  </si>
  <si>
    <t>WPM-131D (0 ~ 0.01)MPa</t>
  </si>
  <si>
    <t>Senzor Pritiska - Opseg 0 – 0.01 MPa, Izlaz 4 – 20mA, LED displej, 12 – 36VDC, 1/4NPT-G</t>
  </si>
  <si>
    <t>MPM489 (0 ~ 0.05)MPa E-22-B1-1/4NPT-G</t>
  </si>
  <si>
    <t>Senzor Pritiska - Opseg 0 – 0.05 MPa, Izlaz 4 – 20mA, 8 – 28VDC, 1/4NPT-G</t>
  </si>
  <si>
    <t>ZWP-L61-K (0 ~ 0.1)MPa</t>
  </si>
  <si>
    <t>Senzor Pritiska - Opseg 0 – 0.1 MPa, Izlaz 4 – 20mA, 12.5 – 36VDC, 1/4NPT-G</t>
  </si>
  <si>
    <t>MPM489 (0 ~ 0.1)MPa E-22-B1-1/4NPT-G</t>
  </si>
  <si>
    <t>Senzor Pritiska - Opseg 0 – 0.1 MPa, Izlaz 4 – 20mA, 8 – 28VDC, 1/4NPT-G</t>
  </si>
  <si>
    <t>WPM-131D (0 ~ 0.1)MPa</t>
  </si>
  <si>
    <t>Senzor Pritiska - Opseg 0 – 0.1 MPa, Izlaz 4 – 20mA, LED displej, 12 – 36VDC, 1/4NPT-G</t>
  </si>
  <si>
    <t>Senzor Pritiska - Opseg 0 – 0.1 MPa, Izlaz 4 – 20mA, LED displej, 12 – 36VDC, M20x1.5</t>
  </si>
  <si>
    <t>MPM489 (0 ~ 0.25)MPa E-22-B1-1/4NPT-G</t>
  </si>
  <si>
    <t>Senzor Pritiska - Opseg 0 – 0.25 MPa, Izlaz 4 – 20mA, 8 – 28VDC, 1/4NPT-G</t>
  </si>
  <si>
    <t>ZWP-L61-K (0 ~ 0.6)MPa</t>
  </si>
  <si>
    <t>Senzor Pritiska - Opseg 0 – 0.6 MPa, Izlaz 4 – 20mA, 12.5 – 36VDC, 1/4NPT-G</t>
  </si>
  <si>
    <t>MPM489 (0 ~ 0.6)MPa E-22-B1-1/4NPT-G</t>
  </si>
  <si>
    <t>Senzor Pritiska - Opseg 0 – 0.6 MPa, Izlaz 4 – 20mA, 8 – 28VDC, 1/4NPT-G</t>
  </si>
  <si>
    <t>MPM489 (0 ~ 0.6)MPa E-22-B1-C1-G</t>
  </si>
  <si>
    <t>Senzor Pritiska - Opseg 0 – 0.6 MPa, Izlaz 4 – 20mA, 8 – 28VDC, M20x1.5</t>
  </si>
  <si>
    <t>WPM-131D (0 ~ 0.6)MPa</t>
  </si>
  <si>
    <t>Senzor Pritiska - Opseg 0 – 0.6 MPa, Izlaz 4 – 20mA, LED displej, 12 – 36VDC, M20x1.5</t>
  </si>
  <si>
    <t>ZWP-L61-K (0 ~ 1)MPa</t>
  </si>
  <si>
    <t>Senzor Pritiska - Opseg 0 – 1 MPa, Izlaz 4 – 20mA, 12.5 – 36VDC, 1/4NPT-G</t>
  </si>
  <si>
    <t>MPM489 (0 ~ 1)MPa E-22-B1-1/4NPT-G</t>
  </si>
  <si>
    <t>Senzor Pritiska - Opseg 0 – 1 MPa, Izlaz 4 – 20mA, 8 – 28VDC, 1/4NPT-G</t>
  </si>
  <si>
    <t>MPM489 (0 ~ 1)MPa E-22-B1-C1-G</t>
  </si>
  <si>
    <t>Senzor Pritiska - Opseg 0 – 1 MPa, Izlaz 4 – 20mA, 8 – 28VDC, M20x1.5</t>
  </si>
  <si>
    <t>WPM-131D (0 ~ 1)MPa</t>
  </si>
  <si>
    <t>Senzor Pritiska - Opseg 0 – 1 MPa, Izlaz 4 – 20mA, LED displej, 12 – 36VDC, 1/4NPT-G</t>
  </si>
  <si>
    <t>XD-132 (0 ~ 1)MPa</t>
  </si>
  <si>
    <t>Senzor Pritiska - Opseg 0 – 1 MPa, Izlaz 4 – 20mA, LED displej, 12 – 36VDC, M20x1.5</t>
  </si>
  <si>
    <t>ZWP-L61-K (0 ~ 1.6)MPa</t>
  </si>
  <si>
    <t>Senzor Pritiska - Opseg 0 – 1.6 MPa, Izlaz 4 – 20mA, 12.5 – 36VDC, 1/4NPT-G</t>
  </si>
  <si>
    <t>MPM489 (0 ~ 1.6)MPa E-22-B1-1/4NPT-G</t>
  </si>
  <si>
    <t>Senzor Pritiska - Opseg 0 – 1.6 MPa, Izlaz 4 – 20mA, 8 – 28VDC, 1/4NPT-G</t>
  </si>
  <si>
    <t>MPM489 (0 ~ 1.6)MPa E-22-B1-C1-G</t>
  </si>
  <si>
    <t>Senzor Pritiska - Opseg 0 – 1.6 MPa, Izlaz 4 – 20mA, 8 – 28VDC, M20x1.5</t>
  </si>
  <si>
    <t>WPM-131D (0 ~ 1.6)MPa</t>
  </si>
  <si>
    <t>Senzor Pritiska - Opseg 0 – 1.6 MPa, Izlaz 4 – 20mA, LED displej, 12 – 36VDC, M20x1.5</t>
  </si>
  <si>
    <t>MDC51-010-N-A I/P (0 ~ 10)Bar</t>
  </si>
  <si>
    <t>Senzor Pritiska - Opseg 0 – 10 Bar, Izlaz 4 – 20mA, 18 – 30VDC, 1/4NPT-G</t>
  </si>
  <si>
    <t>MPM489 (0 ~ 10)MPa E-22-B1-C1-G</t>
  </si>
  <si>
    <t>Senzor Pritiska - Opseg 0 – 10 MPa, Izlaz 4 – 20mA, 8 – 28VDC, M20x1.5</t>
  </si>
  <si>
    <t>MPM489 (0 ~ 100)MPa E-22-B1-C1-S</t>
  </si>
  <si>
    <t>Senzor Pritiska - Opseg 0 – 100 MPa, Izlaz 4 – 20mA, 8 – 28VDC, M20x1.5</t>
  </si>
  <si>
    <t>MDC51-016-N-A I/P (0 ~ 16)Bar</t>
  </si>
  <si>
    <t>Senzor Pritiska - Opseg 0 – 16 Bar, Izlaz 4 – 20mA, 18 – 30VDC, 1/4NPT-G</t>
  </si>
  <si>
    <t>SS306 (0 ~ 160) Bar</t>
  </si>
  <si>
    <t>Senzor Pritiska - Opseg 0 – 160 Bar, Izlaz 4 – 20mA, 12.5 – 36VDC, 1/4NPT-G</t>
  </si>
  <si>
    <t>MPM489 (0 ~ 2.5)MPa E-22-B1-C1-G</t>
  </si>
  <si>
    <t>Senzor Pritiska - Opseg 0 – 2.5 MPa, Izlaz 4 – 20mA, 8 – 28VDC, M20x1.5</t>
  </si>
  <si>
    <t>MPM489 (0 ~ 25)MPa E-22-B1-C1-G</t>
  </si>
  <si>
    <t>Senzor Pritiska - Opseg 0 – 25 MPa, Izlaz 4 – 20mA, 8 – 28VDC, M20x1.5</t>
  </si>
  <si>
    <t>MPM489 (0 ~ 5)MPa E-22-B1-C1-G</t>
  </si>
  <si>
    <t>Senzor Pritiska - Opseg 0 – 5 MPa, Izlaz 4 – 20mA, 8 – 28VDC, M20x1.5</t>
  </si>
  <si>
    <t>MPM489 (0 ~ 50)MPa E-22-B1-C1-S</t>
  </si>
  <si>
    <t>Senzor Pritiska - Opseg 0 – 50 MPa, Izlaz 4 – 20mA, 8 – 28VDC, M20x1.5</t>
  </si>
  <si>
    <t>MDC51-006-N-A I/P (0 ~ 6)Bar</t>
  </si>
  <si>
    <t>Senzor Pritiska - Opseg 0 – 6 Bar, Izlaz 4 – 20mA, 18 – 30VDC, 1/4NPT-G</t>
  </si>
  <si>
    <t>WPM-131D (0 ~ 60)MPa</t>
  </si>
  <si>
    <t>Senzor Pritiska - Opseg 0 – 60 MPa, Izlaz 4 – 20mA, LED displej, 12 – 36VDC, M20x1.5</t>
  </si>
  <si>
    <t>CWH-DC-03</t>
  </si>
  <si>
    <t>Senzor Temperature i Vlažnosti - 2 x PT100 / High Molecule, 0 – 100°C / 5% – 100%RH</t>
  </si>
  <si>
    <t>HT-837-3</t>
  </si>
  <si>
    <t>Senzor Temperature i Vlažnosti - High Molecule, 5% – 100%RH, Izlaz 4-20mA, Napajanje 24VDC</t>
  </si>
  <si>
    <t>THS-PT-HM</t>
  </si>
  <si>
    <t>Senzor Temperature i Vlažnosti - PT100 / High Molecule, 0 – 75°C / 5% – 100%RH</t>
  </si>
  <si>
    <t>HS-HM</t>
  </si>
  <si>
    <t>Senzor Vlažnosti - High Molecule, 5% – 100%RH</t>
  </si>
  <si>
    <t>CWDZ11 -50 – 150°C</t>
  </si>
  <si>
    <t>Temperaturni Transmiter - PT100, Opseg -50 – 150°C, Izlaz 4 – 20mA, 9 – 36VDC</t>
  </si>
  <si>
    <t>CWDZ11 0 – 100°C</t>
  </si>
  <si>
    <t>Temperaturni Transmiter - PT100, Opseg 0 – 100°C, Izlaz 4 – 20mA, 9 – 36VDC</t>
  </si>
  <si>
    <t>STT-102 1m</t>
  </si>
  <si>
    <t>Ultrazvučni Merač Nivoa - Opseg 0 – 1m, Izlaz 4 – 20mA, 24VDC</t>
  </si>
  <si>
    <t>STT-102 5m</t>
  </si>
  <si>
    <t>Ultrazvučni Merač Nivoa - Opseg 0 – 5m, Izlaz 4 – 20mA, 24VDC</t>
  </si>
  <si>
    <t>SUS304</t>
  </si>
  <si>
    <t>Hladnjak za Davače Pritiska - M20*1,5</t>
  </si>
  <si>
    <t>RK02-2-4-P</t>
  </si>
  <si>
    <t>Kabl za Senzor - 90° konektor, 2m kabla, Za Φ12mm senzore</t>
  </si>
  <si>
    <t>RK01-2-3-P</t>
  </si>
  <si>
    <t>Kabl za Senzor - 90° konektor, 2m kabla, Za Φ8mm senzore</t>
  </si>
  <si>
    <t>RK02-1-4</t>
  </si>
  <si>
    <t>Kabl za Senzor - Prav konektor, 2m kabla, Za Φ12mm senzore</t>
  </si>
  <si>
    <t>TD-08</t>
  </si>
  <si>
    <t>Katadiopter - Kvadratan 50x50mm</t>
  </si>
  <si>
    <t>TD-04</t>
  </si>
  <si>
    <t>Katadiopter - Okrugao R45mm</t>
  </si>
  <si>
    <t>TD-02</t>
  </si>
  <si>
    <t>Katadiopter - Pravougaonik 65x40mm</t>
  </si>
  <si>
    <t>Q12</t>
  </si>
  <si>
    <t>Plastični Nosač - Za cilindrične Ø12mm senzore</t>
  </si>
  <si>
    <t>Q18</t>
  </si>
  <si>
    <t>Plastični Nosač - Za cilindrične Ø18mm senzore</t>
  </si>
  <si>
    <t>Q30</t>
  </si>
  <si>
    <t>Plastični Nosač - Za cilindrične Ø30mm senzore</t>
  </si>
  <si>
    <t>MS200</t>
  </si>
  <si>
    <t>Priključna Kutija - Vodootporna IP65, 85 x 72 x 118mm, Tri M4×15 šrafa ili DIN montaža, PBT industrijska plastika</t>
  </si>
  <si>
    <t>MS100</t>
  </si>
  <si>
    <t>Reducir za Senzore Pritiska - M20*1,5 na G1/2", 30MPa</t>
  </si>
  <si>
    <t>CP-DP-A-05</t>
  </si>
  <si>
    <t>Servo Motor Kabl - ≤0.75kW, 5m</t>
  </si>
  <si>
    <t>CP-SP-05</t>
  </si>
  <si>
    <t>Servo Motor Kabl - ≤0.75kW, 5m (za DS3 seriju drajvera)</t>
  </si>
  <si>
    <t>CM-P07-05</t>
  </si>
  <si>
    <t>Servo Motor Kabl - ≤0.75kW, 5m, Monofazni</t>
  </si>
  <si>
    <t>CP-SL-05</t>
  </si>
  <si>
    <t>Servo Motor Kabl - ≤1.5kW, 5m (za DS3 seriju drajvera)</t>
  </si>
  <si>
    <t>CP-DL-A-05</t>
  </si>
  <si>
    <t>Servo Motor Kabl - 1.5-3kW, 5m</t>
  </si>
  <si>
    <t>CM-L15A-05</t>
  </si>
  <si>
    <t>Servo Motor Kabl - 1.5-3kW, 5m, Monofazni</t>
  </si>
  <si>
    <t>CM-XL15A-05</t>
  </si>
  <si>
    <t>Servo Motor Kabl - 3kW, 5m, Monofazni</t>
  </si>
  <si>
    <t>CM-XL25-05</t>
  </si>
  <si>
    <t>Servo Motor Kabl - 3kW, 5m, Trofazni</t>
  </si>
  <si>
    <t>MS-60ST-M01330B-20P4</t>
  </si>
  <si>
    <t>Servo Motor - 0.4kW, 1.27Nm, 220VAC</t>
  </si>
  <si>
    <t>MS-80ST-M02430B-20P7</t>
  </si>
  <si>
    <t>Servo Motor - 0.75kW, 2.39Nm, 220VAC</t>
  </si>
  <si>
    <t>MS-80ST-M02430BZ-20P7</t>
  </si>
  <si>
    <t>MS-80ST-M03520B-20P7</t>
  </si>
  <si>
    <t>Servo Motor - 0.75kW, 3.5Nm, 220VAC</t>
  </si>
  <si>
    <t>MS-80ST-M03520BZ-20P7</t>
  </si>
  <si>
    <t>MS-130ST-M10015BZ-21P5</t>
  </si>
  <si>
    <t>Servo Motor - 1.5kW, 10Nm, 220VAC</t>
  </si>
  <si>
    <t>MS-130ST-M10015B-21P5</t>
  </si>
  <si>
    <t>MS-130ST-M10015B-41P5</t>
  </si>
  <si>
    <t>Servo Motor - 1.5kW, 10Nm, 380VAC</t>
  </si>
  <si>
    <t>MS-110ST-M05030B-21P5</t>
  </si>
  <si>
    <t>Servo Motor - 1.5kW, 5Nm, 220VAC</t>
  </si>
  <si>
    <t>MS-110ST-M05030BZ-21P5</t>
  </si>
  <si>
    <t>MS-110ST-M05030B-41P5</t>
  </si>
  <si>
    <t>Servo Motor - 1.5kW, 5Nm, 380VAC</t>
  </si>
  <si>
    <t>MS-130ST-M07725B-22P0</t>
  </si>
  <si>
    <t>Servo Motor - 2.0kW, 7.7Nm, 220VAC</t>
  </si>
  <si>
    <t>MS-130ST-M15015B-22P3</t>
  </si>
  <si>
    <t>Servo Motor - 2.3kW, 15Nm, 220VAC</t>
  </si>
  <si>
    <t>MS-130ST-M15015BZ-22P3</t>
  </si>
  <si>
    <t>MS-180ST-M10030B-43P0</t>
  </si>
  <si>
    <t>Servo Motor - 3kW, 10Nm, 380VAC</t>
  </si>
  <si>
    <t>MS-180ST-M19015B-23P0</t>
  </si>
  <si>
    <t>Servo Motor - 3kW, 19Nm, 220VAC</t>
  </si>
  <si>
    <t>MS-180ST-M19015BZ-43P0</t>
  </si>
  <si>
    <t>Servo Motor - 3kW, 19Nm, 380VAC</t>
  </si>
  <si>
    <t>MS-180ST-M19015B-43P0</t>
  </si>
  <si>
    <t>MS-180ST-M35015B-45P5</t>
  </si>
  <si>
    <t>Servo Motor - 5.5kW, 35Nm, 380VAC</t>
  </si>
  <si>
    <t>PX80N010S0</t>
  </si>
  <si>
    <t>Planeterni Reduktor - Odnos 10.5 : 1, Ulazna osovina Ø19, Izlazna osovina Ø16, Dimenzije 80 x 80mm</t>
  </si>
  <si>
    <t>PF-80-10-S2-P2</t>
  </si>
  <si>
    <t>Planeterni Reduktor - Odnos 8 : 1, Ulazna osovina Ø19, Izlazna osovina Ø20, Dimenzije 80 x 80mm</t>
  </si>
  <si>
    <t>PX130N010S0</t>
  </si>
  <si>
    <t>Planeterni Reduktor - Odnos 8.5 : 1, Ulazna osovina Ø19, Izlazna osovina Ø28, Dimenzije 130 x 130mm</t>
  </si>
  <si>
    <t>PX110N0090S0</t>
  </si>
  <si>
    <t>Planeterni Reduktor - Odnos 9.5 : 1, Ulazna osovina Ø19, Izlazna osovina Ø22, Dimenzije 110 x 110mm</t>
  </si>
  <si>
    <t>DS2-20P4-AS</t>
  </si>
  <si>
    <t>Servo Drajver - 0.4kW, 220V, Monofazni</t>
  </si>
  <si>
    <t>DS3-20P7</t>
  </si>
  <si>
    <t>Servo Drajver - 0.7kW, 220V, 1/3 Monofazni</t>
  </si>
  <si>
    <t>DS2-20P7-A</t>
  </si>
  <si>
    <t>DS2-20P7-AS</t>
  </si>
  <si>
    <t>Servo Drajver - 0.7kW, 220V, Monofazni</t>
  </si>
  <si>
    <t>DS2-21P5-AS</t>
  </si>
  <si>
    <t>Servo Drajver - 1.5kW, 220V, 1/3 Monofazni</t>
  </si>
  <si>
    <t>DS3-21P5</t>
  </si>
  <si>
    <t>DS2-41P5-AS</t>
  </si>
  <si>
    <t>Servo Drajver - 1.5kW, 380V, Trofazni</t>
  </si>
  <si>
    <t>DS2-22P3-AS</t>
  </si>
  <si>
    <t>Servo Drajver - 2.3kW, 220V, 1/3 Monofazni</t>
  </si>
  <si>
    <t>DS2-22P3-A</t>
  </si>
  <si>
    <t>DS2-23P0-A</t>
  </si>
  <si>
    <t>Servo Drajver - 3kW, 220V, 1/3 Monofazni</t>
  </si>
  <si>
    <t>DS2-43P0-AS</t>
  </si>
  <si>
    <t>Servo Drajver - 3kW, 380V, Trofazni</t>
  </si>
  <si>
    <t>DS2-45P5-A</t>
  </si>
  <si>
    <t>Servo Drajver - 5.5kW, 380V, Trofazni</t>
  </si>
  <si>
    <t>AD-16 Bela 12V</t>
  </si>
  <si>
    <t>Signalna Sijalica - Bela, Ø16mm, 12V AC/DC</t>
  </si>
  <si>
    <t>AD-16 Bela 220V</t>
  </si>
  <si>
    <t>Signalna Sijalica - Bela, Ø16mm, 220V AC</t>
  </si>
  <si>
    <t>QW-16 Bela 220V</t>
  </si>
  <si>
    <t>QW-16 Bela 24V</t>
  </si>
  <si>
    <t>Signalna Sijalica - Bela, Ø16mm, 24V AC/DC</t>
  </si>
  <si>
    <t>AD-16 Bela 24V</t>
  </si>
  <si>
    <t>AD-22DS Bela 12V</t>
  </si>
  <si>
    <t>Signalna Sijalica - Bela, Ø22mm, 12V AC/DC</t>
  </si>
  <si>
    <t>AD-22DS Bela 220V</t>
  </si>
  <si>
    <t>Signalna Sijalica - Bela, Ø22mm, 220V AC</t>
  </si>
  <si>
    <t>QW-22 Bela 220V</t>
  </si>
  <si>
    <t>AD-22DS Bela 24V</t>
  </si>
  <si>
    <t>Signalna Sijalica - Bela, Ø22mm, 24V AC/DC</t>
  </si>
  <si>
    <t>QW-22 Bela 24V</t>
  </si>
  <si>
    <t>AD-C8 Bela 220V</t>
  </si>
  <si>
    <t>Signalna Sijalica - Bela, Ø8mm, 220V AC</t>
  </si>
  <si>
    <t>AD-C8 Bela 24V</t>
  </si>
  <si>
    <t>Signalna Sijalica - Bela, Ø8mm, 24V DC</t>
  </si>
  <si>
    <t>AD-22SS Crvena / Zelena 220V</t>
  </si>
  <si>
    <t>Signalna Sijalica - Crvena / Zelena, Ø22mm, 220V AC</t>
  </si>
  <si>
    <t>AD-22D/B Crvena / Zelena 24V</t>
  </si>
  <si>
    <t>Signalna Sijalica - Crvena / Zelena, Ø22mm, 24V AC/DC</t>
  </si>
  <si>
    <t>AD-22SS Crvena / Zelena 24V</t>
  </si>
  <si>
    <t>AD-16 Crvena 12V</t>
  </si>
  <si>
    <t>Signalna Sijalica - Crvena, Ø16mm, 12V AC/DC</t>
  </si>
  <si>
    <t>AD-16 Crvena 220V</t>
  </si>
  <si>
    <t>Signalna Sijalica - Crvena, Ø16mm, 220V AC</t>
  </si>
  <si>
    <t>QW-16 Crvena 24V</t>
  </si>
  <si>
    <t>Signalna Sijalica - Crvena, Ø16mm, 24V AC/DC</t>
  </si>
  <si>
    <t>AD-16 Crvena 24V</t>
  </si>
  <si>
    <t>AD-C16 Crvena 24V</t>
  </si>
  <si>
    <t>Signalna Sijalica - Crvena, Ø16mm, 24V DC</t>
  </si>
  <si>
    <t>AD-22DS Crvena 12V</t>
  </si>
  <si>
    <t>Signalna Sijalica - Crvena, Ø22mm, 12V AC/DC</t>
  </si>
  <si>
    <t>QW-22 Crvena 220V</t>
  </si>
  <si>
    <t>Signalna Sijalica - Crvena, Ø22mm, 220V AC</t>
  </si>
  <si>
    <t>AD-22DS Crvena 220V</t>
  </si>
  <si>
    <t>AD-22DS Crvena 24V</t>
  </si>
  <si>
    <t>Signalna Sijalica - Crvena, Ø22mm, 24V AC/DC</t>
  </si>
  <si>
    <t>QW-22 Crvena 24V</t>
  </si>
  <si>
    <t>QW-C8 Crvena 220V</t>
  </si>
  <si>
    <t>Signalna Sijalica - Crvena, Ø8mm, 220V AC</t>
  </si>
  <si>
    <t>AD-C8 Crvena 220V</t>
  </si>
  <si>
    <t>AD-C8 Crvena 24V</t>
  </si>
  <si>
    <t>Signalna Sijalica - Crvena, Ø8mm, 24V DC</t>
  </si>
  <si>
    <t>AD-22W/G Indikator Dve Pozicije 24V</t>
  </si>
  <si>
    <t>Signalna Sijalica - Indikator Dve Pozicije, Crvena / Zelena, Ø22mm, 24V AC/DC</t>
  </si>
  <si>
    <t>AD-22W/D Indikator Kontakta 24V</t>
  </si>
  <si>
    <t>Signalna Sijalica - Indikator Kontakta, Crvena / Zelena, Ø22mm, 24V AC/DC</t>
  </si>
  <si>
    <t>AD-22W/N Indikator Uzemljenja 24V</t>
  </si>
  <si>
    <t>Signalna Sijalica - Indikator Uzemljenja, Crvena / Zelena, Ø22mm, 24V AC/DC</t>
  </si>
  <si>
    <t>AD-16 Plava 12V</t>
  </si>
  <si>
    <t>Signalna Sijalica - Plava, Ø16mm, 12V AC/DC</t>
  </si>
  <si>
    <t>AD-16 Plava 220V</t>
  </si>
  <si>
    <t>Signalna Sijalica - Plava, Ø16mm, 220V AC</t>
  </si>
  <si>
    <t>QW-16 Plava 220V</t>
  </si>
  <si>
    <t>AD-16 Plava 24V</t>
  </si>
  <si>
    <t>Signalna Sijalica - Plava, Ø16mm, 24V AC/DC</t>
  </si>
  <si>
    <t>QW-16 Plava 24V</t>
  </si>
  <si>
    <t>AD-22DS Plava 12V</t>
  </si>
  <si>
    <t>Signalna Sijalica - Plava, Ø22mm, 12V AC/DC</t>
  </si>
  <si>
    <t>QW-22 Plava 220V</t>
  </si>
  <si>
    <t>Signalna Sijalica - Plava, Ø22mm, 220V AC</t>
  </si>
  <si>
    <t>AD-22DS Plava 220V</t>
  </si>
  <si>
    <t>QW-22 Plava 24V</t>
  </si>
  <si>
    <t>Signalna Sijalica - Plava, Ø22mm, 24V AC/DC</t>
  </si>
  <si>
    <t>AD-22DS Plava 24V</t>
  </si>
  <si>
    <t>QW-C8 Plava 220V</t>
  </si>
  <si>
    <t>Signalna Sijalica - Plava, Ø8mm, 220V AC</t>
  </si>
  <si>
    <t>AD-C8 Plava 220V</t>
  </si>
  <si>
    <t>AD-C8 Plava 24V</t>
  </si>
  <si>
    <t>Signalna Sijalica - Plava, Ø8mm, 24V DC</t>
  </si>
  <si>
    <t>AD-16 Zelena 12V</t>
  </si>
  <si>
    <t>Signalna Sijalica - Zelena, Ø16mm, 12V AC/DC</t>
  </si>
  <si>
    <t>QW-16 Zelena 220V</t>
  </si>
  <si>
    <t>Signalna Sijalica - Zelena, Ø16mm, 220V AC</t>
  </si>
  <si>
    <t>AD-16 Zelena 220V</t>
  </si>
  <si>
    <t>AD-16 Zelena 24V</t>
  </si>
  <si>
    <t>Signalna Sijalica - Zelena, Ø16mm, 24V AC/DC</t>
  </si>
  <si>
    <t>QW-16 Zelena 24V</t>
  </si>
  <si>
    <t>AD-C16 Zelena 24V</t>
  </si>
  <si>
    <t>Signalna Sijalica - Zelena, Ø16mm, 24V DC</t>
  </si>
  <si>
    <t>AD-22DS Zelena 12V</t>
  </si>
  <si>
    <t>Signalna Sijalica - Zelena, Ø22mm, 12V AC/DC</t>
  </si>
  <si>
    <t>AD-22DS Zelena 220V</t>
  </si>
  <si>
    <t>Signalna Sijalica - Zelena, Ø22mm, 220V AC</t>
  </si>
  <si>
    <t>AD-22DS Zelena 24V</t>
  </si>
  <si>
    <t>Signalna Sijalica - Zelena, Ø22mm, 24V AC/DC</t>
  </si>
  <si>
    <t>QW-22 Zelena 24V</t>
  </si>
  <si>
    <t>AD-C8 Zelena 220V</t>
  </si>
  <si>
    <t>Signalna Sijalica - Zelena, Ø8mm, 220V AC</t>
  </si>
  <si>
    <t>QW-C8 Zelena 220V</t>
  </si>
  <si>
    <t>AD-C8 Zelena 24V</t>
  </si>
  <si>
    <t>Signalna Sijalica - Zelena, Ø8mm, 24V DC</t>
  </si>
  <si>
    <t>AD-16 Žuta 12V</t>
  </si>
  <si>
    <t>Signalna Sijalica - Žuta, Ø16mm, 12V AC/DC</t>
  </si>
  <si>
    <t>AD-16 Žuta 220V</t>
  </si>
  <si>
    <t>Signalna Sijalica - Žuta, Ø16mm, 220V AC</t>
  </si>
  <si>
    <t>QW-16 Žuta 220V</t>
  </si>
  <si>
    <t>AD-16 Žuta 24V</t>
  </si>
  <si>
    <t>Signalna Sijalica - Žuta, Ø16mm, 24V AC/DC</t>
  </si>
  <si>
    <t>QW-16 Žuta 24V</t>
  </si>
  <si>
    <t>AD-22DS Žuta 12V</t>
  </si>
  <si>
    <t>Signalna Sijalica - Žuta, Ø22mm, 12V AC/DC</t>
  </si>
  <si>
    <t>AD-22DS Žuta 220V</t>
  </si>
  <si>
    <t>Signalna Sijalica - Žuta, Ø22mm, 220V AC</t>
  </si>
  <si>
    <t>QW-22 Žuta 220V</t>
  </si>
  <si>
    <t>AD-22DS Žuta 24V</t>
  </si>
  <si>
    <t>Signalna Sijalica - Žuta, Ø22mm, 24V AC/DC</t>
  </si>
  <si>
    <t>QW-22 Žuta 24V</t>
  </si>
  <si>
    <t>QW-C8 Žuta 220V</t>
  </si>
  <si>
    <t>Signalna Sijalica - Žuta, Ø8mm, 220V AC</t>
  </si>
  <si>
    <t>AD-C8 Žuta 220V</t>
  </si>
  <si>
    <t>AD-C8 Žuta 24V</t>
  </si>
  <si>
    <t>Signalna Sijalica - Žuta, Ø8mm, 24V DC</t>
  </si>
  <si>
    <t>QW-C8 Žuta 24V</t>
  </si>
  <si>
    <t>DDG-A</t>
  </si>
  <si>
    <t>Termalna Silikonska Pasta - 100g</t>
  </si>
  <si>
    <t>LC1-K1201 220VAC</t>
  </si>
  <si>
    <t>Mini Sklopka - 12A, Komandni napon 220VAC, Kontakti 3NO + 1NC</t>
  </si>
  <si>
    <t>LC1-K1210 220VAC</t>
  </si>
  <si>
    <t>Mini Sklopka - 12A, Komandni napon 220VAC, Kontakti 4NO</t>
  </si>
  <si>
    <t>LC1-K1201 24VAC</t>
  </si>
  <si>
    <t>Mini Sklopka - 12A, Komandni napon 24VAC, Kontakti 3NO + 1NC</t>
  </si>
  <si>
    <t>LC1-K1210 24VAC</t>
  </si>
  <si>
    <t>Mini Sklopka - 12A, Komandni napon 24VAC, Kontakti 4NO</t>
  </si>
  <si>
    <t>LC1-K1201 24VDC</t>
  </si>
  <si>
    <t>Mini Sklopka - 12A, Komandni napon 24VDC, Kontakti 3NO + 1NC</t>
  </si>
  <si>
    <t>LC1-K1210 24VDC</t>
  </si>
  <si>
    <t>Mini Sklopka - 12A, Komandni napon 24VDC, Kontakti 4NO</t>
  </si>
  <si>
    <t>LA1-DN11</t>
  </si>
  <si>
    <t>Pomoćni Kontakt - 1NO + 1NC, 6A / 500V</t>
  </si>
  <si>
    <t>LA1-DN22</t>
  </si>
  <si>
    <t>Pomoćni Kontakt - 2NO + 2NC, 6A / 500V</t>
  </si>
  <si>
    <t>LA1-DN20</t>
  </si>
  <si>
    <t>Pomoćni Kontakt - 2NO, 6A / 500V</t>
  </si>
  <si>
    <t>F5-T2</t>
  </si>
  <si>
    <t>Pomoćni Kontakt - Kašnjenje 0,1s – 30s, 1NO + 1NC, 10A / 660V</t>
  </si>
  <si>
    <t>CJX1 (3TF) 50</t>
  </si>
  <si>
    <t>Sklopka - 110A, Komandni napon 220VAC, Kontakti 3NO / 2NO + 2NC pomoćni</t>
  </si>
  <si>
    <t>ZAC2-11</t>
  </si>
  <si>
    <t>Sklopka - 11A, Komandni napon 220VAC, Kontakti 3NO / 1NO + 1NC pomoćni</t>
  </si>
  <si>
    <t>LC1-DN12 110VAC</t>
  </si>
  <si>
    <t>Sklopka - 12A, Komandni napon 110VAC, Kontakti 3NO / 1NO + 1NC pomoćni</t>
  </si>
  <si>
    <t>LC1-DN12 220VAC</t>
  </si>
  <si>
    <t>Sklopka - 12A, Komandni napon 220VAC, Kontakti 3NO / 1NO + 1NC pomoćni</t>
  </si>
  <si>
    <t>CKYC1-D1210</t>
  </si>
  <si>
    <t>Sklopka - 12A, Komandni napon 220VAC, Kontakti 3NO / 1NO pomoćni</t>
  </si>
  <si>
    <t>LC1-DN12 24VAC</t>
  </si>
  <si>
    <t>Sklopka - 12A, Komandni napon 24VAC, Kontakti 3NO / 1NO + 1NC pomoćni</t>
  </si>
  <si>
    <t>LC1-DN12 380VAC</t>
  </si>
  <si>
    <t>Sklopka - 12A, Komandni napon 380VAC, Kontakti 3NO / 1NO + 1NC pomoćni</t>
  </si>
  <si>
    <t>CJX1 (3TF) 51</t>
  </si>
  <si>
    <t>Sklopka - 140A, Komandni napon 220VAC, Kontakti 3NO / 2NO + 2NC pomoćni</t>
  </si>
  <si>
    <t>CJX1 (3TF) 52</t>
  </si>
  <si>
    <t>Sklopka - 170A, Komandni napon 220VAC, Kontakti 3NO / 4NO + 4NC pomoćni</t>
  </si>
  <si>
    <t>LC1-DN18 110VAC</t>
  </si>
  <si>
    <t>Sklopka - 18A, Komandni napon 110VAC, Kontakti 3NO / 1NO + 1NC pomoćni</t>
  </si>
  <si>
    <t>LC1-DN18 220VAC</t>
  </si>
  <si>
    <t>Sklopka - 18A, Komandni napon 220VAC, Kontakti 3NO / 1NO + 1NC pomoćni</t>
  </si>
  <si>
    <t>LC1-DN18 24VAC</t>
  </si>
  <si>
    <t>Sklopka - 18A, Komandni napon 24VAC, Kontakti 3NO / 1NO + 1NC pomoćni</t>
  </si>
  <si>
    <t>LC1-DN18 380VAC</t>
  </si>
  <si>
    <t>Sklopka - 18A, Komandni napon 380VAC, Kontakti 3NO / 1NO + 1NC pomoćni</t>
  </si>
  <si>
    <t>CJX1 (3TF) 53</t>
  </si>
  <si>
    <t>Sklopka - 205A, Komandni napon 220VAC, Kontakti 3NO / 4NO + 4NC pomoćni</t>
  </si>
  <si>
    <t>ESC5-2P R20 220VAC</t>
  </si>
  <si>
    <t>Sklopka - 20A, Komandni napon 220VAC, Kontakti 2NO</t>
  </si>
  <si>
    <t>CJX1 (3TF) 54</t>
  </si>
  <si>
    <t>Sklopka - 250A, Komandni napon 220VAC, Kontakti 3NO / 4NO + 4NC pomoćni</t>
  </si>
  <si>
    <t>LC1-DN25 110VAC</t>
  </si>
  <si>
    <t>Sklopka - 25A, Komandni napon 110VAC, Kontakti 3NO / 1NO + 1NC pomoćni</t>
  </si>
  <si>
    <t>LC1-DN25 220VAC</t>
  </si>
  <si>
    <t>Sklopka - 25A, Komandni napon 220VAC, Kontakti 3NO / 1NO + 1NC pomoćni</t>
  </si>
  <si>
    <t>CKYC1-D2510</t>
  </si>
  <si>
    <t>Sklopka - 25A, Komandni napon 220VAC, Kontakti 3NO / 1NO pomoćni</t>
  </si>
  <si>
    <t>LC1-DN25 24VAC</t>
  </si>
  <si>
    <t>Sklopka - 25A, Komandni napon 24VAC, Kontakti 3NO / 1NO + 1NC pomoćni</t>
  </si>
  <si>
    <t>LC1-DN25 380VAC</t>
  </si>
  <si>
    <t>Sklopka - 25A, Komandni napon 380VAC, Kontakti 3NO / 1NO + 1NC pomoćni</t>
  </si>
  <si>
    <t>CJX1 (3TF) 55</t>
  </si>
  <si>
    <t>Sklopka - 300A, Komandni napon 220VAC, Kontakti 3NO / 4NO + 4NC pomoćni</t>
  </si>
  <si>
    <t>LC1-DN32 110VAC</t>
  </si>
  <si>
    <t>Sklopka - 32A, Komandni napon 110VAC, Kontakti 3NO / 1NO + 1NC pomoćni</t>
  </si>
  <si>
    <t>SGMC-32</t>
  </si>
  <si>
    <t>Sklopka - 32A, Komandni napon 220VAC, Kontakti 3NO / 1NO + 1NC pomoćni</t>
  </si>
  <si>
    <t>CJX2-D32</t>
  </si>
  <si>
    <t>LC1-DN32 220VAC</t>
  </si>
  <si>
    <t>LC1-D32</t>
  </si>
  <si>
    <t>CKYC1-D3210</t>
  </si>
  <si>
    <t>Sklopka - 32A, Komandni napon 220VAC, Kontakti 3NO / 1NO pomoćni</t>
  </si>
  <si>
    <t>LC1-DN32 24VAC</t>
  </si>
  <si>
    <t>Sklopka - 32A, Komandni napon 24VAC, Kontakti 3NO / 1NO + 1NC pomoćni</t>
  </si>
  <si>
    <t>LC1-DN32 380VAC</t>
  </si>
  <si>
    <t>Sklopka - 32A, Komandni napon 380VAC, Kontakti 3NO / 1NO + 1NC pomoćni</t>
  </si>
  <si>
    <t>ZAC2-35</t>
  </si>
  <si>
    <t>Sklopka - 35A, Komandni napon 220VAC, Kontakti 3NO / 1NO + 1NC pomoćni</t>
  </si>
  <si>
    <t>CJX1 (3TF) 56</t>
  </si>
  <si>
    <t>Sklopka - 400A, Komandni napon 220VAC, Kontakti 3NO / 4NO + 4NC pomoćni</t>
  </si>
  <si>
    <t>LC1-DN40 110VAC</t>
  </si>
  <si>
    <t>Sklopka - 40A, Komandni napon 110VAC, Kontakti 3NO / 1NO + 1NC pomoćni</t>
  </si>
  <si>
    <t>SGMC-40</t>
  </si>
  <si>
    <t>Sklopka - 40A, Komandni napon 220VAC, Kontakti 3NO / 1NO + 1NC pomoćni</t>
  </si>
  <si>
    <t>LC1-DN40 220VAC</t>
  </si>
  <si>
    <t>LC1-D40</t>
  </si>
  <si>
    <t>CKYC1-D4011</t>
  </si>
  <si>
    <t>ESC5-4P R40 220VAC</t>
  </si>
  <si>
    <t>Sklopka - 40A, Komandni napon 220VAC, Kontakti 4NO, Motor 7.5kW</t>
  </si>
  <si>
    <t>LC1-DN40 24VAC</t>
  </si>
  <si>
    <t>Sklopka - 40A, Komandni napon 24VAC, Kontakti 3NO / 1NO + 1NC pomoćni</t>
  </si>
  <si>
    <t>ESC5-4P R40 24VAC</t>
  </si>
  <si>
    <t>Sklopka - 40A, Komandni napon 24VAC, Kontakti 4NO, Motor 7.5kW</t>
  </si>
  <si>
    <t>LC1-DN40 380VAC</t>
  </si>
  <si>
    <t>Sklopka - 40A, Komandni napon 380VAC, Kontakti 3NO / 1NO + 1NC pomoćni</t>
  </si>
  <si>
    <t>SGMC-50</t>
  </si>
  <si>
    <t>Sklopka - 50A, Komandni napon 220VAC, Kontakti 3NO / 1NO + 1NC pomoćni</t>
  </si>
  <si>
    <t>ZAC3-60</t>
  </si>
  <si>
    <t>Sklopka - 60A, Komandni napon 220VAC, Kontakti 3NO / 2NO + 2NC pomoćni</t>
  </si>
  <si>
    <t>LC1-DN65 110VAC</t>
  </si>
  <si>
    <t>Sklopka - 65A, Komandni napon 110VAC, Kontakti 3NO / 1NO + 1NC pomoćni</t>
  </si>
  <si>
    <t>CKYC1-D6511</t>
  </si>
  <si>
    <t>Sklopka - 65A, Komandni napon 220VAC, Kontakti 3NO / 1NO + 1NC pomoćni</t>
  </si>
  <si>
    <t>LC1-DN65 220VAC</t>
  </si>
  <si>
    <t>ZAC9-65</t>
  </si>
  <si>
    <t>Sklopka - 65A, Komandni napon 220VAC, Kontakti 3NO / 2NO + 2NC pomoćni</t>
  </si>
  <si>
    <t>LC1-DN65 24VAC</t>
  </si>
  <si>
    <t>Sklopka - 65A, Komandni napon 24VAC, Kontakti 3NO / 1NO + 1NC pomoćni</t>
  </si>
  <si>
    <t>LC1-DN65 380VAC</t>
  </si>
  <si>
    <t>Sklopka - 65A, Komandni napon 380VAC, Kontakti 3NO / 1NO + 1NC pomoćni</t>
  </si>
  <si>
    <t>ZAC3-80</t>
  </si>
  <si>
    <t>Sklopka - 80A, Komandni napon 220VAC, Kontakti 3NO / 2NO + 2NC pomoćni</t>
  </si>
  <si>
    <t>SGMC-85</t>
  </si>
  <si>
    <t>Sklopka - 85A, Komandni napon 220VAC, Kontakti 3NO / 1NO + 1NC pomoćni</t>
  </si>
  <si>
    <t>ZAC9-85</t>
  </si>
  <si>
    <t>Sklopka - 85A, Komandni napon 220VAC, Kontakti 3NO / 2NO + 2NC pomoćni</t>
  </si>
  <si>
    <t>LC1-DN95 110VAC</t>
  </si>
  <si>
    <t>Sklopka - 95A, Komandni napon 110VAC, Kontakti 3NO / 1NO + 1NC pomoćni</t>
  </si>
  <si>
    <t>CKYC1-D9511</t>
  </si>
  <si>
    <t>Sklopka - 95A, Komandni napon 220VAC, Kontakti 3NO / 1NO + 1NC pomoćni</t>
  </si>
  <si>
    <t>LC1-DN95 220VAC</t>
  </si>
  <si>
    <t>CJX2-D95</t>
  </si>
  <si>
    <t>LC1-D95</t>
  </si>
  <si>
    <t>LC1-DN95 24VAC</t>
  </si>
  <si>
    <t>Sklopka - 95A, Komandni napon 24VAC, Kontakti 3NO / 1NO + 1NC pomoćni</t>
  </si>
  <si>
    <t>LC1-DN95 380VAC</t>
  </si>
  <si>
    <t>Sklopka - 95A, Komandni napon 380VAC, Kontakti 3NO / 1NO + 1NC pomoćni</t>
  </si>
  <si>
    <t>HFR-1110</t>
  </si>
  <si>
    <t>Soft Starter - 110kW, AC 380V, Trofazni</t>
  </si>
  <si>
    <t>HFR-1132</t>
  </si>
  <si>
    <t>Soft Starter - 132kW, AC 380V, Trofazni</t>
  </si>
  <si>
    <t>HFR-1015</t>
  </si>
  <si>
    <t>Soft Starter - 15kW, AC 380V, Trofazni</t>
  </si>
  <si>
    <t>HFR-1160</t>
  </si>
  <si>
    <t>Soft Starter - 160kW, AC 380V, Trofazni</t>
  </si>
  <si>
    <t>HFR-1022</t>
  </si>
  <si>
    <t>Soft Starter - 22kW, AC 380V, Trofazni</t>
  </si>
  <si>
    <t>HFR-1250</t>
  </si>
  <si>
    <t>Soft Starter - 250kW, AC 380V, Trofazni</t>
  </si>
  <si>
    <t>HFR-1030</t>
  </si>
  <si>
    <t>Soft Starter - 30kW, AC 380V, Trofazni</t>
  </si>
  <si>
    <t>HFR-1315</t>
  </si>
  <si>
    <t>Soft Starter - 315kW, AC 380V, Trofazni</t>
  </si>
  <si>
    <t>HFR-1037</t>
  </si>
  <si>
    <t>Soft Starter - 37kW, AC 380V, Trofazni</t>
  </si>
  <si>
    <t>HFR-1045</t>
  </si>
  <si>
    <t>Soft Starter - 45kW, AC 380V, Trofazni</t>
  </si>
  <si>
    <t>HFR-1055</t>
  </si>
  <si>
    <t>Soft Starter - 55kW, AC 380V, Trofazni</t>
  </si>
  <si>
    <t>HFR-1075</t>
  </si>
  <si>
    <t>Soft Starter - 75kW, AC 380V, Trofazni</t>
  </si>
  <si>
    <t>HFR-1090</t>
  </si>
  <si>
    <t>Soft Starter - 90kW, AC 380V, Trofazni</t>
  </si>
  <si>
    <t>HYG10/10 L25 D20</t>
  </si>
  <si>
    <t>Elastična Spojnica - 10mm → 10mm, Dužina 25mm, Prečnik 20mm, Aluminijum</t>
  </si>
  <si>
    <t>HBL10/10 L25 D20</t>
  </si>
  <si>
    <t>HYG10/10 L25 D25</t>
  </si>
  <si>
    <t>Elastična Spojnica - 10mm → 10mm, Dužina 25mm, Prečnik 25mm, Aluminijum</t>
  </si>
  <si>
    <t>TLK5 10/10 L30 D25</t>
  </si>
  <si>
    <t>Elastična Spojnica - 10mm → 10mm, Dužina 30mm, Prečnik 25mm, Aluminijum</t>
  </si>
  <si>
    <t>HBL10/10 L30 D25</t>
  </si>
  <si>
    <t>HBL10/10 L40 D32</t>
  </si>
  <si>
    <t>Elastična Spojnica - 10mm → 10mm, Dužina 40mm, Prečnik 32mm, Aluminijum</t>
  </si>
  <si>
    <t>TLK2 12/12 L34 D25</t>
  </si>
  <si>
    <t>Elastična Spojnica - 12mm → 12mm, Dužina 34mm, Prečnik 25mm, Aluminijum</t>
  </si>
  <si>
    <t>HBL12/12 L40 D32</t>
  </si>
  <si>
    <t>Elastična Spojnica - 12mm → 12mm, Dužina 40mm, Prečnik 32mm, Aluminijum</t>
  </si>
  <si>
    <t>TLK2 14/14 L35 D30</t>
  </si>
  <si>
    <t>Elastična Spojnica - 14mm → 14mm, Dužina 35mm, Prečnik 30mm, Aluminijum</t>
  </si>
  <si>
    <t>HBL14/14 L40 D32</t>
  </si>
  <si>
    <t>Elastična Spojnica - 14mm → 14mm, Dužina 40mm, Prečnik 32mm, Aluminijum</t>
  </si>
  <si>
    <t>TLK2 19/19 L66 D40</t>
  </si>
  <si>
    <t>Elastična Spojnica - 19mm → 19mm, Dužina 66mm, Prečnik 40mm, Aluminijum</t>
  </si>
  <si>
    <t>TLK2 22/22 L66 D40</t>
  </si>
  <si>
    <t>Elastična Spojnica - 22mm → 22mm, Dužina 66mm, Prečnik 40mm, Aluminijum</t>
  </si>
  <si>
    <t>TLK2 35/35 L90 D65</t>
  </si>
  <si>
    <t>Elastična Spojnica - 35mm → 35mm, Dužina 90mm, Prečnik 65mm, Aluminijum</t>
  </si>
  <si>
    <t>HBL5/5 L30 D20</t>
  </si>
  <si>
    <t>Elastična Spojnica - 5mm → 5mm, Dužina 30mm, Prečnik 20mm, Aluminijum</t>
  </si>
  <si>
    <t>HYG6.35/6 L25 D20</t>
  </si>
  <si>
    <t>Elastična Spojnica - 6.35mm → 6mm, Dužina 25mm, Prečnik 20mm, Aluminijum</t>
  </si>
  <si>
    <t>HBL6/10 L25 D25</t>
  </si>
  <si>
    <t>Elastična Spojnica - 6mm → 10mm, Dužina 25mm, Prečnik 25mm, Aluminijum</t>
  </si>
  <si>
    <t>HYG6/10 L25 D25</t>
  </si>
  <si>
    <t>HYL6/10 L25 D25</t>
  </si>
  <si>
    <t>HBL6/10 L30 D25</t>
  </si>
  <si>
    <t>Elastična Spojnica - 6mm → 10mm, Dužina 30mm, Prečnik 25mm, Aluminijum</t>
  </si>
  <si>
    <t>TLK5 6/10 L30 D25</t>
  </si>
  <si>
    <t>HYL6/6 L20 D20</t>
  </si>
  <si>
    <t>Elastična Spojnica - 6mm → 6mm, Dužina 20mm, Prečnik 20mm, Aluminijum</t>
  </si>
  <si>
    <t>HYG6/6 L20 D20</t>
  </si>
  <si>
    <t>HYL6/6 L23 D16</t>
  </si>
  <si>
    <t>Elastična Spojnica - 6mm → 6mm, Dužina 23mm, Prečnik 16mm, Aluminijum</t>
  </si>
  <si>
    <t>TLK5 6/6 L25 D18</t>
  </si>
  <si>
    <t>Elastična Spojnica - 6mm → 6mm, Dužina 25mm, Prečnik 18mm, Aluminijum</t>
  </si>
  <si>
    <t>HYG6/6 L25 D20</t>
  </si>
  <si>
    <t>Elastična Spojnica - 6mm → 6mm, Dužina 25mm, Prečnik 20mm, Aluminijum</t>
  </si>
  <si>
    <t>HYL6/6 L25 D20</t>
  </si>
  <si>
    <t>HBL6/6 L25 D20</t>
  </si>
  <si>
    <t>HYG6/6 L25 D25</t>
  </si>
  <si>
    <t>Elastična Spojnica - 6mm → 6mm, Dužina 25mm, Prečnik 25mm, Aluminijum</t>
  </si>
  <si>
    <t>HBL6/6 L30 D20</t>
  </si>
  <si>
    <t>Elastična Spojnica - 6mm → 6mm, Dužina 30mm, Prečnik 20mm, Aluminijum</t>
  </si>
  <si>
    <t>TLK5 6/6 L30 D25</t>
  </si>
  <si>
    <t>Elastična Spojnica - 6mm → 6mm, Dužina 30mm, Prečnik 25mm, Aluminijum</t>
  </si>
  <si>
    <t>HYG6/8 L25 D20</t>
  </si>
  <si>
    <t>Elastična Spojnica - 6mm → 8mm, Dužina 25mm, Prečnik 20mm, Aluminijum</t>
  </si>
  <si>
    <t>HYL6/8 L25 D20</t>
  </si>
  <si>
    <t>HBL6/8 L25 D25</t>
  </si>
  <si>
    <t>Elastična Spojnica - 6mm → 8mm, Dužina 25mm, Prečnik 25mm, Aluminijum</t>
  </si>
  <si>
    <t>HYG6/8 L25 D25</t>
  </si>
  <si>
    <t>HBL6/8 L30 D20</t>
  </si>
  <si>
    <t>Elastična Spojnica - 6mm → 8mm, Dužina 30mm, Prečnik 20mm, Aluminijum</t>
  </si>
  <si>
    <t>HBL6/8 L30 D25</t>
  </si>
  <si>
    <t>Elastična Spojnica - 6mm → 8mm, Dužina 30mm, Prečnik 25mm, Aluminijum</t>
  </si>
  <si>
    <t>TLK5 6/8 L30 D25</t>
  </si>
  <si>
    <t>HYL8/10 L25 D22</t>
  </si>
  <si>
    <t>Elastična Spojnica - 8mm → 10mm, Dužina 25mm, Prečnik 22mm, Aluminijum</t>
  </si>
  <si>
    <t>HYL8/10 L25 D25</t>
  </si>
  <si>
    <t>Elastična Spojnica - 8mm → 10mm, Dužina 25mm, Prečnik 25mm, Aluminijum</t>
  </si>
  <si>
    <t>HYG8/10 L25 D25</t>
  </si>
  <si>
    <t>HBL8/10 L25 D25</t>
  </si>
  <si>
    <t>TLK5 8/10 L30 D25</t>
  </si>
  <si>
    <t>Elastična Spojnica - 8mm → 10mm, Dužina 30mm, Prečnik 25mm, Aluminijum</t>
  </si>
  <si>
    <t>HBL8/10 L30 D25</t>
  </si>
  <si>
    <t>HBL8/8 L25 D25</t>
  </si>
  <si>
    <t>Elastična Spojnica - 8mm → 8mm, Dužina 25mm, Prečnik 25mm, Aluminijum</t>
  </si>
  <si>
    <t>TLK5 8/8 L30 D25</t>
  </si>
  <si>
    <t>Elastična Spojnica - 8mm → 8mm, Dužina 30mm, Prečnik 25mm, Aluminijum</t>
  </si>
  <si>
    <t>HBL8/8 L30 D25</t>
  </si>
  <si>
    <t>SSR-ZG3NC-510B</t>
  </si>
  <si>
    <t>Solid State Rele - Naponski, Upravljanje 3 – 32VDC, Opterećenje 10A / 24 – 480VDC, LED indikacija</t>
  </si>
  <si>
    <t>SSR-10DD</t>
  </si>
  <si>
    <t>Solid State Rele - Naponski, Upravljanje 3 – 32VDC, Opterećenje 10A / 5 – 60VDC, LED indikacija</t>
  </si>
  <si>
    <t>SSR-ZG3NC-525B</t>
  </si>
  <si>
    <t>Solid State Rele - Naponski, Upravljanje 3 – 32VDC, Opterećenje 25A / 24 – 480VDC, LED indikacija</t>
  </si>
  <si>
    <t>SSR-30DD</t>
  </si>
  <si>
    <t>Solid State Rele - Naponski, Upravljanje 3 – 32VDC, Opterećenje 30A / 300VDC, LED indikacija</t>
  </si>
  <si>
    <t>SSR-ZG3NC-540B</t>
  </si>
  <si>
    <t>Solid State Rele - Naponski, Upravljanje 3 – 32VDC, Opterećenje 40A / 24 – 480VDC, LED indikacija</t>
  </si>
  <si>
    <t>ZG1NC-340D</t>
  </si>
  <si>
    <t>Solid State Rele - Naponsko, Upravljanje 0 – 10VDC, Opterećenje 40A / 0 – 400VAC</t>
  </si>
  <si>
    <t>DTS-40A-24V</t>
  </si>
  <si>
    <t>Solid State Rele - Naponsko, Upravljanje 0 – 5VDC, Opterećenje 40A / 0 – 24VDC</t>
  </si>
  <si>
    <t>ZG1NC-340C</t>
  </si>
  <si>
    <t>Solid State Rele - Otporno, Upravljanje Potenciometrom 470 – 680kΩ 2W, Opterećenje 40A / 90 – 480VAC</t>
  </si>
  <si>
    <t>SSR-15VA</t>
  </si>
  <si>
    <t>Solid State Rele - Otporno, Upravljanje Potenciometrom 500kΩ 2W, Opterećenje 15A / 24 – 250VAC</t>
  </si>
  <si>
    <t>SSR-25DV</t>
  </si>
  <si>
    <t>Solid State Rele - Random, Upravljanje 3 – 32VDC, Opterećenje 25A / 175 – 250VAC</t>
  </si>
  <si>
    <t>SSR-40DV</t>
  </si>
  <si>
    <t>Solid State Rele - Random, Upravljanje 3 – 32VDC, Opterećenje 40A / 175 – 250VAC</t>
  </si>
  <si>
    <t>SSR-25DA-P</t>
  </si>
  <si>
    <t>Solid State Rele - Random, Upravljanje 4 – 8VDC, Opterećenje 25A / 24 – 380VAC, LED indikacija</t>
  </si>
  <si>
    <t>SSR-40DA-P</t>
  </si>
  <si>
    <t>Solid State Rele - Random, Upravljanje 4 – 8VDC, Opterećenje 40A / 24 – 380VAC, LED indikacija</t>
  </si>
  <si>
    <t>SSR-40LA-B</t>
  </si>
  <si>
    <t>Solid State Rele - Strujno, Upravljanje 4 – 20mA / 0 – 5VDC, Opterećenje 40A / 24 – 230VAC, LED indikacija</t>
  </si>
  <si>
    <t>SSR-40LA</t>
  </si>
  <si>
    <t>Solid State Rele - Strujno, Upravljanje 4 – 20mA, Opterećenje 40A / 90 – 250VAC, LED indikacija</t>
  </si>
  <si>
    <t>TSR3-2KDA-H-ZF</t>
  </si>
  <si>
    <t>Solid State Rele - Zero Cross, Upravljanje 10 – 30VDC, Motorno Opterećenje 2kW / 3 x 380VAC</t>
  </si>
  <si>
    <t>TSR3-3KDA-H-ZF</t>
  </si>
  <si>
    <t>Solid State Rele - Zero Cross, Upravljanje 10 – 30VDC, Motorno Opterećenje 3kW / 3 x 380VAC</t>
  </si>
  <si>
    <t>GYSSR-100DA</t>
  </si>
  <si>
    <t>Solid State Rele - Zero Cross, Upravljanje 3 – 32VDC, Opterećenje 100A / 24 – 440VAC, LED indikacija</t>
  </si>
  <si>
    <t>D3100ZF</t>
  </si>
  <si>
    <t>Solid State Rele - Zero Cross, Upravljanje 3 – 32VDC, Opterećenje 100A / 90 – 440VAC, LED indikacija</t>
  </si>
  <si>
    <t>GYSSR-200DA</t>
  </si>
  <si>
    <t>Solid State Rele - Zero Cross, Upravljanje 3 – 32VDC, Opterećenje 200A / 24 – 440VAC, LED indikacija</t>
  </si>
  <si>
    <t>ZG3NC-325B</t>
  </si>
  <si>
    <t>Solid State Rele - Zero Cross, Upravljanje 3 – 32VDC, Opterećenje 25A / 90 – 480VAC, LED indikacija</t>
  </si>
  <si>
    <t>ZG33-340B</t>
  </si>
  <si>
    <t>Solid State Rele - Zero Cross, Upravljanje 3 – 32VDC, Opterećenje 40A / 380VAC, LED indikacija</t>
  </si>
  <si>
    <t>ZG3NC-340B</t>
  </si>
  <si>
    <t>Solid State Rele - Zero Cross, Upravljanje 3 – 32VDC, Opterećenje 40A / 90 – 480VAC, LED indikacija</t>
  </si>
  <si>
    <t>ZG33-360B</t>
  </si>
  <si>
    <t>Solid State Rele - Zero Cross, Upravljanje 3 – 32VDC, Opterećenje 60A / 380VAC, LED indikacija</t>
  </si>
  <si>
    <t>ZG3NC-360B</t>
  </si>
  <si>
    <t>Solid State Rele - Zero Cross, Upravljanje 3 – 32VDC, Opterećenje 60A / 90 – 480VAC, LED indikacija</t>
  </si>
  <si>
    <t>ZG3NC-380B</t>
  </si>
  <si>
    <t>Solid State Rele - Zero Cross, Upravljanje 3 – 32VDC, Opterećenje 80A / 90 – 480VAC, LED indikacija</t>
  </si>
  <si>
    <t>SSR-100DA</t>
  </si>
  <si>
    <t>Solid State Rele - Zero Cross, Upravljanje 3 – 32VDC, Vršno Opterećenje 100A, Kontinualno Opterećenje 50A, 24 – 380VAC</t>
  </si>
  <si>
    <t>ZG33-3-M4810</t>
  </si>
  <si>
    <t>Solid State Rele - Zero Cross, Upravljanje 4 – 32VDC, Motorno Opterećenje 0.75kW / 3 x 480VAC</t>
  </si>
  <si>
    <t>SSR-F-25DA</t>
  </si>
  <si>
    <t>Solid State Rele - Zero Cross, Upravljanje 4 – 32VDC, Opterećenje 25A / 24 – 380VAC, LED indikacija, Zaštitni osigurač</t>
  </si>
  <si>
    <t>SSR-F-40DA</t>
  </si>
  <si>
    <t>Solid State Rele - Zero Cross, Upravljanje 4 – 32VDC, Opterećenje 40A / 24 – 380VAC, LED indikacija, Zaštitni osigurač</t>
  </si>
  <si>
    <t>SSR3-40DA-H</t>
  </si>
  <si>
    <t>Solid State Rele - Zero Cross, Upravljanje 4 – 32VDC, Opterećenje 40A / 90 – 480VAC, LED indikacija</t>
  </si>
  <si>
    <t>SSR3-60DA-H</t>
  </si>
  <si>
    <t>Solid State Rele - Zero Cross, Upravljanje 4 – 32VDC, Opterećenje 60A / 90 – 480VAC, LED indikacija</t>
  </si>
  <si>
    <t>RMA-40-40A400</t>
  </si>
  <si>
    <t>Solid State Rele - Zero Cross, Upravljanje 5 – 32VDC, Opterećenje 40A / 230VAC, LED indikacija</t>
  </si>
  <si>
    <t>RST-T-40A400</t>
  </si>
  <si>
    <t>Solid State Rele - Zero Cross, Upravljanje 5 – 32VDC, Opterećenje 40A / 24 – 380VAC, LED indikacija</t>
  </si>
  <si>
    <t>SSR-40AA-H</t>
  </si>
  <si>
    <t>Solid State Rele - Zero Cross, Upravljanje 70 – 280VAC, Vršno Opterećenje 40A, Kontinualno Opterećenje 20A, 90 – 480VAC</t>
  </si>
  <si>
    <t>ZG33-340A</t>
  </si>
  <si>
    <t>Solid State Rele - Zero Cross, Upravljanje 80 – 250VAC, Opterećenje 40A / 380VAC, LED indikacija</t>
  </si>
  <si>
    <t>SSR3-40AA-H</t>
  </si>
  <si>
    <t>Solid State Rele - Zero Cross, Upravljanje 80 – 250VAC, Opterećenje 40A / 90 – 480VAC, LED indikacija</t>
  </si>
  <si>
    <t>ZG33-360A</t>
  </si>
  <si>
    <t>Solid State Rele - Zero Cross, Upravljanje 80 – 250VAC, Opterećenje 60A / 380VAC, LED indikacija</t>
  </si>
  <si>
    <t>ZG3NC-325A</t>
  </si>
  <si>
    <t>Solid State Rele - Zero Cross, Upravljanje 90 – 250VAC, Opterećenje 25A / 90 – 480VAC, LED indikacija</t>
  </si>
  <si>
    <t>ZG3NC-340A</t>
  </si>
  <si>
    <t>Solid State Rele - Zero Cross, Upravljanje 90 – 250VAC, Opterećenje 40A / 90 – 480VAC, LED indikacija</t>
  </si>
  <si>
    <t>ZG3NC-360A</t>
  </si>
  <si>
    <t>Solid State Rele - Zero Cross, Upravljanje 90 – 250VAC, Opterećenje 60A / 90 – 480VAC, LED indikacija</t>
  </si>
  <si>
    <t>ZG3NC-380A</t>
  </si>
  <si>
    <t>Solid State Rele - Zero Cross, Upravljanje 90 – 250VAC, Opterećenje 80A / 90 – 480VAC, LED indikacija</t>
  </si>
  <si>
    <t>Servo-Step Signal Generator</t>
  </si>
  <si>
    <t>Motor Signal Generator - Napajanje 12-160VDC ili 5-12VDC, Frekvencija 100Hz - 120kH, PWM ili PULS</t>
  </si>
  <si>
    <t>LB65</t>
  </si>
  <si>
    <t>Nosač Motora - Ø38, L tip, za motore od 57/58mm</t>
  </si>
  <si>
    <t>LB100</t>
  </si>
  <si>
    <t>Nosač Motora - Ø73, L tip, za motore od 86mm</t>
  </si>
  <si>
    <t>MTPG2-5E2N</t>
  </si>
  <si>
    <t>Regulator Step i Servo Motora - Jednoosni Kontroler, 100 – 250V AC/DC</t>
  </si>
  <si>
    <t>TB6600 + 57BYG250B</t>
  </si>
  <si>
    <t>Step Drajver sa Motorom - Dvopolni Drajver 4.5A 9–40VDC, Motor 1.2Nm 2.8A</t>
  </si>
  <si>
    <t>TB6600 + 57BYG250C</t>
  </si>
  <si>
    <t>Step Drajver sa Motorom - Dvopolni Drajver 4.5A 9–40VDC, Motor 1.8Nm 3.0A</t>
  </si>
  <si>
    <t>HB3422 + 86BYG350-156</t>
  </si>
  <si>
    <t>Step Drajver sa Motorom - Trofazni step motor set, 12Nm, 220VAC</t>
  </si>
  <si>
    <t>FDK-1200VA</t>
  </si>
  <si>
    <t>Step Drajver Transformator - 1200VA, Ulaz 220V (0-1), Izlaz 4 x 70V (11-12), 11.12kg</t>
  </si>
  <si>
    <t>DM860H</t>
  </si>
  <si>
    <t>Step Motor Drajver - Dupli PWM drajver, 7.2A, 24 – 110VDC</t>
  </si>
  <si>
    <t>TB6600</t>
  </si>
  <si>
    <t>Step Motor Drajver - Dvopolni drajver, 4.5A, 9 – 40VDC</t>
  </si>
  <si>
    <t>TAB-AU 0 - 500VAC</t>
  </si>
  <si>
    <t>Naponski Transmiter - Ulaz 0 – 500VAC, Izlaz 4 – 20mA, 24VDC</t>
  </si>
  <si>
    <t>KEK-AI1C1 0 - 100A</t>
  </si>
  <si>
    <t>Strujni Transmiter - Ulaz 0 – 100A, Izlaz 4 – 20mA, 24VDC</t>
  </si>
  <si>
    <t>KA-T21I-250A 0 - 250A</t>
  </si>
  <si>
    <t>Strujni Transmiter - Ulaz 0 – 250A, Izlaz 4 – 20mA, 24VDC</t>
  </si>
  <si>
    <t>TEK-I1D1 0 - 30A</t>
  </si>
  <si>
    <t>Strujni Transmiter - Ulaz 0 – 30A, Izlaz 4 – 20mA, 24VDC</t>
  </si>
  <si>
    <t>KA-T21I-500A 0 - 500A</t>
  </si>
  <si>
    <t>Strujni Transmiter - Ulaz 0 – 500A, Izlaz 4 – 20mA, 24VDC</t>
  </si>
  <si>
    <t>KEK-AI1B1 0 - 50A</t>
  </si>
  <si>
    <t>Strujni Transmiter - Ulaz 0 – 50A, Izlaz 4 – 20mA, 24VDC</t>
  </si>
  <si>
    <t>TAB-AI 0 - 5A</t>
  </si>
  <si>
    <t>Strujni Transmiter - Ulaz 0 – 5A, Izlaz 4 – 20mA, 24VDC</t>
  </si>
  <si>
    <t>MSQ-30 100/5A</t>
  </si>
  <si>
    <t>Strujni Transformator - 100/5A</t>
  </si>
  <si>
    <t>MSQ-30 150/5A</t>
  </si>
  <si>
    <t>Strujni Transformator - 150/5A</t>
  </si>
  <si>
    <t>MSQ-30 200/5A</t>
  </si>
  <si>
    <t>Strujni Transformator - 200/5A</t>
  </si>
  <si>
    <t>MSQ-30 250/5A</t>
  </si>
  <si>
    <t>Strujni Transformator - 250/5A</t>
  </si>
  <si>
    <t>MSQ-30 30/5A</t>
  </si>
  <si>
    <t>Strujni Transformator - 30/5A</t>
  </si>
  <si>
    <t>MSQ-30 300/5A</t>
  </si>
  <si>
    <t>Strujni Transformator - 300/5A</t>
  </si>
  <si>
    <t>MSQ-30 40/5A</t>
  </si>
  <si>
    <t>Strujni Transformator - 40/5A</t>
  </si>
  <si>
    <t>MSQ-30 50/5A</t>
  </si>
  <si>
    <t>Strujni Transformator - 50/5A</t>
  </si>
  <si>
    <t>MC48</t>
  </si>
  <si>
    <t>Plastični Držač - Držač za uređaje ugradnih dimenzija 48x48mm</t>
  </si>
  <si>
    <t>H7ET-8T-FBV</t>
  </si>
  <si>
    <t>Tajmer - Brojač Časova Rada, Ulaz 110 – 240V AC/DC, Baterijsko Napajanje</t>
  </si>
  <si>
    <t>DHC19M</t>
  </si>
  <si>
    <t>Tajmer - Multifunkcionalni Tajmer, Izlaz 1 x Rele, 24–240V AC/DC</t>
  </si>
  <si>
    <t>DHC8A-1A</t>
  </si>
  <si>
    <t>Tajmer - Nedeljni Programibilni Tajmer, Izlaz 1 x Rele, 220V AC/DC</t>
  </si>
  <si>
    <t>DHC15A</t>
  </si>
  <si>
    <t>ST3PR 220VAC</t>
  </si>
  <si>
    <t>Tajmer - Sa Dva Vremena 10S/10M, Izlaz 1 x Rele 2A 380VAC, Napajanje 220VAC</t>
  </si>
  <si>
    <t>ST3PR 24VDC</t>
  </si>
  <si>
    <t>Tajmer - Sa Dva Vremena 10S/10M, Izlaz 1 x Rele 2A 380VAC, Napajanje 24VDC</t>
  </si>
  <si>
    <t>ASTDV-Y-04</t>
  </si>
  <si>
    <t>Tajmer - Sa Dva Vremena 60S/60S, Impuls/Pauza, Izlaz 1 x Rele, 220VAC</t>
  </si>
  <si>
    <t>ASTDV-Y-02</t>
  </si>
  <si>
    <t>Tajmer - Sa Dva Vremena 6S/60S, Impuls/Pauza, Izlaz 1 x Rele, 220VAC</t>
  </si>
  <si>
    <t>ASTDV-Y-01</t>
  </si>
  <si>
    <t>Tajmer - Sa Dva Vremena 6S/6S, Impuls/Pauza, Izlaz 1 x Rele, 220VAC</t>
  </si>
  <si>
    <t>DH48S-S 220V AC/DC</t>
  </si>
  <si>
    <t>Tajmer - Sa Dva Vremena, Multifunkcionalan, Izlaz 1 x Rele, 220V AC/DC</t>
  </si>
  <si>
    <t>DH48S-S 220VAC</t>
  </si>
  <si>
    <t>Tajmer - Sa Dva Vremena, Multifunkcionalan, Izlaz 1 x Rele, 220VAC</t>
  </si>
  <si>
    <t>HP4-RB40W</t>
  </si>
  <si>
    <t>DHC19S-S</t>
  </si>
  <si>
    <t>Tajmer - Sa Dva Vremena, Multifunkcionalan, Izlaz 1 x Rele, 24–240V AC/DC</t>
  </si>
  <si>
    <t>DH48S-S 24VDC</t>
  </si>
  <si>
    <t>Tajmer - Sa Dva Vremena, Multifunkcionalan, Izlaz 1 x Rele, 24VDC</t>
  </si>
  <si>
    <t>H3CR-A11 220V</t>
  </si>
  <si>
    <t>Tajmer - Sa Jednim Vremenom 1,2s~300h, Izlaz 2 x Rele, 220VAC</t>
  </si>
  <si>
    <t>ASM8-A AC 10s</t>
  </si>
  <si>
    <t>Tajmer - Sa Jednim Vremenom 10s, Multifunkcionalan, Izlaz 1 x Rele, 220VAC</t>
  </si>
  <si>
    <t>ASM8-A DC 10s</t>
  </si>
  <si>
    <t>Tajmer - Sa Jednim Vremenom 10s, Multifunkcionalan, Izlaz 1 x Rele, 24VDC</t>
  </si>
  <si>
    <t>TKB2E230A 10s</t>
  </si>
  <si>
    <t>Tajmer - Sa Jednim Vremenom 10s, OFF Delay, Izlaz Rele, 230VAC</t>
  </si>
  <si>
    <t>TKB2E24D 10s</t>
  </si>
  <si>
    <t>Tajmer - Sa Jednim Vremenom 10s, OFF Delay, Izlaz Rele, 24VDC</t>
  </si>
  <si>
    <t>AS3Y-2Z AC 10s</t>
  </si>
  <si>
    <t>Tajmer - Sa Jednim Vremenom 10s, ON Delay, Izlaz 1 x Rele, 220VAC</t>
  </si>
  <si>
    <t>AS3Y-2Z DC 10s</t>
  </si>
  <si>
    <t>Tajmer - Sa Jednim Vremenom 10s, ON Delay, Izlaz 1 x Rele, 24VDC</t>
  </si>
  <si>
    <t>TKB2B230A 10s</t>
  </si>
  <si>
    <t>Tajmer - Sa Jednim Vremenom 10s, ON Delay, Izlaz Rele, 230VAC</t>
  </si>
  <si>
    <t>TKB2B24D 10s</t>
  </si>
  <si>
    <t>Tajmer - Sa Jednim Vremenom 10s, ON Delay, Izlaz Rele, 24VDC</t>
  </si>
  <si>
    <t>ASH3-NA/B-A AC</t>
  </si>
  <si>
    <t>Tajmer - Sa Jednim Vremenom 1s~10m, Multifunkcionalan, Izlaz 1 x Rele, 220VAC</t>
  </si>
  <si>
    <t>ASH3-NA/B-A DC</t>
  </si>
  <si>
    <t>Tajmer - Sa Jednim Vremenom 1s~10m, Multifunkcionalan, Izlaz 1 x Rele, 24VDC</t>
  </si>
  <si>
    <t>ASM8-A AC 30s</t>
  </si>
  <si>
    <t>Tajmer - Sa Jednim Vremenom 30s, Multifunkcionalan, Izlaz 1 x Rele, 220VAC</t>
  </si>
  <si>
    <t>ASM8-A DC 30s</t>
  </si>
  <si>
    <t>Tajmer - Sa Jednim Vremenom 30s, Multifunkcionalan, Izlaz 1 x Rele, 24VDC</t>
  </si>
  <si>
    <t>AS3Y-2Z AC 30s</t>
  </si>
  <si>
    <t>Tajmer - Sa Jednim Vremenom 30s, ON Delay, Izlaz 1 x Rele, 220VAC</t>
  </si>
  <si>
    <t>AS3Y-2Z DC 30s</t>
  </si>
  <si>
    <t>Tajmer - Sa Jednim Vremenom 30s, ON Delay, Izlaz 1 x Rele, 24VDC</t>
  </si>
  <si>
    <t>ASH3-NA/B-B AC</t>
  </si>
  <si>
    <t>Tajmer - Sa Jednim Vremenom 3s~30m, Multifunkcionalan, Izlaz 1 x Rele, 220VAC</t>
  </si>
  <si>
    <t>ASH3-NA/B-B DC</t>
  </si>
  <si>
    <t>Tajmer - Sa Jednim Vremenom 3s~30m, Multifunkcionalan, Izlaz 1 x Rele, 24VDC</t>
  </si>
  <si>
    <t>ASM8-A AC 60s</t>
  </si>
  <si>
    <t>Tajmer - Sa Jednim Vremenom 60s, Multifunkcionalan, Izlaz 1 x Rele, 220VAC</t>
  </si>
  <si>
    <t>ASM8-A DC 60s</t>
  </si>
  <si>
    <t>Tajmer - Sa Jednim Vremenom 60s, Multifunkcionalan, Izlaz 1 x Rele, 24VDC</t>
  </si>
  <si>
    <t>TKB2E230A 60s</t>
  </si>
  <si>
    <t>Tajmer - Sa Jednim Vremenom 60s, OFF Delay, Izlaz Rele, 230VAC</t>
  </si>
  <si>
    <t>TKB2E24D 60s</t>
  </si>
  <si>
    <t>Tajmer - Sa Jednim Vremenom 60s, OFF Delay, Izlaz Rele, 24VDC</t>
  </si>
  <si>
    <t>AS3Y-2Z AC 60s</t>
  </si>
  <si>
    <t>Tajmer - Sa Jednim Vremenom 60s, ON Delay, Izlaz 1 x Rele, 220VAC</t>
  </si>
  <si>
    <t>AS3Y-2Z DC 60s</t>
  </si>
  <si>
    <t>Tajmer - Sa Jednim Vremenom 60s, ON Delay, Izlaz 1 x Rele, 24VDC</t>
  </si>
  <si>
    <t>TKB2B230A 60s</t>
  </si>
  <si>
    <t>Tajmer - Sa Jednim Vremenom 60s, ON Delay, Izlaz Rele, 230VAC</t>
  </si>
  <si>
    <t>TKB2B24D 60s</t>
  </si>
  <si>
    <t>Tajmer - Sa Jednim Vremenom 60s, ON Delay, Izlaz Rele, 24VDC</t>
  </si>
  <si>
    <t>ASH3-NA/B-C AC</t>
  </si>
  <si>
    <t>Tajmer - Sa Jednim Vremenom 6s~60m, Multifunkcionalan, Izlaz 1 x Rele, 220VAC</t>
  </si>
  <si>
    <t>ASH3-NA/B-C DC</t>
  </si>
  <si>
    <t>Tajmer - Sa Jednim Vremenom 6s~60m, Multifunkcionalan, Izlaz 1 x Rele, 24VDC</t>
  </si>
  <si>
    <t>DHC9J-LN 220V</t>
  </si>
  <si>
    <t>Tajmer - Sa Jednim Vremenom, Brojač Časova Rada, 100–240V AC/DC</t>
  </si>
  <si>
    <t>DHC9J-LN 24V</t>
  </si>
  <si>
    <t>Tajmer - Sa Jednim Vremenom, Brojač Časova Rada, 12–24V AC/DC</t>
  </si>
  <si>
    <t>TC-PRO2400</t>
  </si>
  <si>
    <t>Tajmer - Sa Jednim Vremenom, Brojač Časova Rada, 8 cifara, Baterijsko Napajanje</t>
  </si>
  <si>
    <t>DHC3L-6</t>
  </si>
  <si>
    <t>Tajmer - Sa Jednim Vremenom, Brojač Časova Rada, Baterijsko Napajanje</t>
  </si>
  <si>
    <t>DHC48 220V AC/DC</t>
  </si>
  <si>
    <t>Tajmer - Sa Jednim Vremenom, Multifunkcionalan, Izlaz 1 x Rele, 220V AC/DC</t>
  </si>
  <si>
    <t>TC-01</t>
  </si>
  <si>
    <t>Tajmer - Sa Jednim Vremenom, Multifunkcionalan, Izlaz 1 x Rele, 220VAC</t>
  </si>
  <si>
    <t>CH48S</t>
  </si>
  <si>
    <t>DHC48 24V AC/DC</t>
  </si>
  <si>
    <t>Tajmer - Sa Jednim Vremenom, Multifunkcionalan, Izlaz 1 x Rele, 24V AC/DC</t>
  </si>
  <si>
    <t>DHC19-2E AC</t>
  </si>
  <si>
    <t>Tajmer - Sa Jednim Vremenom, OFF Delay, Izlaz 1 x Rele, 220VAC</t>
  </si>
  <si>
    <t>DHC19-2E DC</t>
  </si>
  <si>
    <t>Tajmer - Sa Jednim Vremenom, OFF Delay, Izlaz 1 x Rele, 24VDC</t>
  </si>
  <si>
    <t>DH48S-1Z</t>
  </si>
  <si>
    <t>Tajmer - Sa Jednim Vremenom, ON Delay, Izlaz 1 x Rele, 220VAC</t>
  </si>
  <si>
    <t>DHC19-2 AC</t>
  </si>
  <si>
    <t>H3CR-A8 220VAC</t>
  </si>
  <si>
    <t>H3CR-A8 24V AC/DC</t>
  </si>
  <si>
    <t>Tajmer - Sa Jednim Vremenom, ON Delay, Izlaz 1 x Rele, 24V AC/DC</t>
  </si>
  <si>
    <t>DHC19-2 DC</t>
  </si>
  <si>
    <t>Tajmer - Sa Jednim Vremenom, ON Delay, Izlaz 1 x Rele, 24VDC</t>
  </si>
  <si>
    <t>AS14S-1Z</t>
  </si>
  <si>
    <t>DH48S-2Z</t>
  </si>
  <si>
    <t>Tajmer - Sa Jednim Vremenom, ON Delay, Izlaz 2 x Rele, 220VAC</t>
  </si>
  <si>
    <t>DHC18</t>
  </si>
  <si>
    <t>Tajmer - Tajmer Stepenišnog Osvetljenja, Izlaz 1 x Rele, 220VAC</t>
  </si>
  <si>
    <t>DHC19-Y</t>
  </si>
  <si>
    <t>Tajmer - Zvezda-Trougao Tajmer, Izlaz 1 x Rele, 220VAC</t>
  </si>
  <si>
    <t>KLIK-KLAK 1021</t>
  </si>
  <si>
    <t>Klik-klak Prekidač - Φ12mm, 1 x ON/OFF</t>
  </si>
  <si>
    <t>KLIK-KLAK 1221</t>
  </si>
  <si>
    <t>Klik-klak Prekidač - Φ12mm, 2 x ON/OFF</t>
  </si>
  <si>
    <t>KLIK-KLAK 1321</t>
  </si>
  <si>
    <t>Klik-klak Prekidač - Φ12mm, 2 x ON/ON, 2 x NO/NC</t>
  </si>
  <si>
    <t>KLIK-KLAK 1322</t>
  </si>
  <si>
    <t>Klik-klak Prekidač - Φ12mm, ON/OFF/ON</t>
  </si>
  <si>
    <t>MP025S/F-22Z Beli</t>
  </si>
  <si>
    <t>Metalni Prekidač - Antivandal, Beli 24V DC, Φ25mm, 2NO + 2NC, IP65</t>
  </si>
  <si>
    <t>MP025S/F-22Z Crveni</t>
  </si>
  <si>
    <t>Metalni Prekidač - Antivandal, Crveni 24V DC, Φ25mm, 2NO + 2NC, IP65</t>
  </si>
  <si>
    <t>MP025S/F-22Z Plavi</t>
  </si>
  <si>
    <t>Metalni Prekidač - Antivandal, Plavi 24V DC, Φ25mm, 2NO + 2NC, IP65</t>
  </si>
  <si>
    <t>MP025S/F-22Z Zeleni</t>
  </si>
  <si>
    <t>Metalni Prekidač - Antivandal, Zeleni 24V DC, Φ25mm, 2NO + 2NC, IP65</t>
  </si>
  <si>
    <t>MP025S/F-22Z Žuti</t>
  </si>
  <si>
    <t>Metalni Prekidač - Antivandal, Žuti 24V DC, Φ25mm, 2NO + 2NC, IP65</t>
  </si>
  <si>
    <t>MP016S/F11E Beli</t>
  </si>
  <si>
    <t>Metalni Taster - Antivandal, Beli 24V DC, Φ16mm, 1NO, IP67</t>
  </si>
  <si>
    <t>MP022S/F-11-E Beli</t>
  </si>
  <si>
    <t>Metalni Taster - Antivandal, Beli 24V DC, Φ22mm, 1NO + 1NC, IP65</t>
  </si>
  <si>
    <t>MP022S/F11E Beli</t>
  </si>
  <si>
    <t>Metalni Taster - Antivandal, Beli 24V DC, Φ22mm, 1NO + 1NC, IP67</t>
  </si>
  <si>
    <t>MP16S/F-2J-E Crveni</t>
  </si>
  <si>
    <t>Metalni Taster - Antivandal, Crveni 24V DC, Φ16mm, 1NO, IP65</t>
  </si>
  <si>
    <t>MP016S/F11E Crveni</t>
  </si>
  <si>
    <t>Metalni Taster - Antivandal, Crveni 24V DC, Φ16mm, 1NO, IP67</t>
  </si>
  <si>
    <t>MP019S/F11E Crveni</t>
  </si>
  <si>
    <t>Metalni Taster - Antivandal, Crveni 24V DC, Φ19mm, 1NO + 1NC, IP67</t>
  </si>
  <si>
    <t>MP022S/F-11-E Crveni</t>
  </si>
  <si>
    <t>Metalni Taster - Antivandal, Crveni 24V DC, Φ22mm, 1NO + 1NC, IP65</t>
  </si>
  <si>
    <t>MP022S/F11E Crveni</t>
  </si>
  <si>
    <t>Metalni Taster - Antivandal, Crveni 24V DC, Φ22mm, 1NO + 1NC, IP67</t>
  </si>
  <si>
    <t>MP016S/F11E Plavi</t>
  </si>
  <si>
    <t>Metalni Taster - Antivandal, Plavi 24V DC, Φ16mm, 1NO, IP67</t>
  </si>
  <si>
    <t>MP019S/F11E Plavi</t>
  </si>
  <si>
    <t>Metalni Taster - Antivandal, Plavi 24V DC, Φ19mm, 1NO + 1NC, IP67</t>
  </si>
  <si>
    <t>MP022S/F-11-E Plavi</t>
  </si>
  <si>
    <t>Metalni Taster - Antivandal, Plavi 24V DC, Φ22mm, 1NO + 1NC, IP65</t>
  </si>
  <si>
    <t>MP022S/F11E Plavi</t>
  </si>
  <si>
    <t>Metalni Taster - Antivandal, Plavi 24V DC, Φ22mm, 1NO + 1NC, IP67</t>
  </si>
  <si>
    <t>MP16S/F-2J-E Zeleni</t>
  </si>
  <si>
    <t>Metalni Taster - Antivandal, Zeleni 24V DC, Φ16mm, 1NO, IP65</t>
  </si>
  <si>
    <t>MP016S/F11E Zeleni</t>
  </si>
  <si>
    <t>Metalni Taster - Antivandal, Zeleni 24V DC, Φ16mm, 1NO, IP67</t>
  </si>
  <si>
    <t>MP019S/F11E Zeleni</t>
  </si>
  <si>
    <t>Metalni Taster - Antivandal, Zeleni 24V DC, Φ19mm, 1NO + 1NC, IP67</t>
  </si>
  <si>
    <t>MP022S/F11E Zeleni</t>
  </si>
  <si>
    <t>Metalni Taster - Antivandal, Zeleni 24V DC, Φ22mm, 1NO + 1NC, IP67</t>
  </si>
  <si>
    <t>MP16S/F-2J-E Žuti</t>
  </si>
  <si>
    <t>Metalni Taster - Antivandal, Žuti 24V DC, Φ16mm, 1NO, IP65</t>
  </si>
  <si>
    <t>MP016S/F11E Žuti</t>
  </si>
  <si>
    <t>Metalni Taster - Antivandal, Žuti 24V DC, Φ16mm, 1NO, IP67</t>
  </si>
  <si>
    <t>MP019S/F11E Žuti</t>
  </si>
  <si>
    <t>Metalni Taster - Antivandal, Žuti 24V DC, Φ19mm, 1NO + 1NC, IP67</t>
  </si>
  <si>
    <t>MP022S/F-11-E Žuti</t>
  </si>
  <si>
    <t>Metalni Taster - Antivandal, Žuti 24V DC, Φ22mm, 1NO + 1NC, IP65</t>
  </si>
  <si>
    <t>MP022S/F11E Žuti</t>
  </si>
  <si>
    <t>Metalni Taster - Antivandal, Žuti 24V DC, Φ22mm, 1NO + 1NC, IP67</t>
  </si>
  <si>
    <t>MP12S/B-2</t>
  </si>
  <si>
    <t>Metalni Taster - Antivandal, Φ12mm, 1NO, IP65</t>
  </si>
  <si>
    <t>MP16S/F-2J</t>
  </si>
  <si>
    <t>Metalni Taster - Antivandal, Φ16mm, 1NO, IP65</t>
  </si>
  <si>
    <t>MP16S/F-2</t>
  </si>
  <si>
    <t>MP16S/F10</t>
  </si>
  <si>
    <t>Metalni Taster - Antivandal, Φ16mm, 1NO, IP67</t>
  </si>
  <si>
    <t>MP19S/F10</t>
  </si>
  <si>
    <t>Metalni Taster - Antivandal, Φ19mm, 1NO, IP67</t>
  </si>
  <si>
    <t>MP022/F11</t>
  </si>
  <si>
    <t>Metalni Taster - Antivandal, Φ22mm, 1NO + 1NC, IP65</t>
  </si>
  <si>
    <t>MP22S/F10</t>
  </si>
  <si>
    <t>Metalni Taster - Antivandal, Φ22mm, 1NO, IP67</t>
  </si>
  <si>
    <t>HB2-BS142 SVE STOP</t>
  </si>
  <si>
    <t>Pečurka sa Ključem - SVE STOP, Crveni, Φ22mm, 1NC, IP65 / IP20</t>
  </si>
  <si>
    <t>GQ38-11EDS Beli Prekidač LED 220V</t>
  </si>
  <si>
    <t>Prekidač - Opšte Namene, Beli 220V, Φ30mm / Φ22mm, 1NO + 1NC, IP40</t>
  </si>
  <si>
    <t>LA115-B2-11TD Beli LED 220V AC</t>
  </si>
  <si>
    <t>Prekidač - Opšte Namene, Beli LED 220V AC, Φ22mm, 1NO + 1NC, IP65/IP20</t>
  </si>
  <si>
    <t>LA115-B2-11TD Beli LED 24V AC/DC</t>
  </si>
  <si>
    <t>Prekidač - Opšte Namene, Beli LED 24V AC/DC, Φ22mm, 1NO + 1NC, IP65/IP20</t>
  </si>
  <si>
    <t>LA115-B2-11T Crni</t>
  </si>
  <si>
    <t>Prekidač - Opšte Namene, Crni, Φ22mm, 1NO + 1NC, IP65/IP20</t>
  </si>
  <si>
    <t>GQ38-11EDS Crveni Prekidač LED 220V</t>
  </si>
  <si>
    <t>Prekidač - Opšte Namene, Crveni 220V, Φ30mm / Φ22mm, 1NO + 1NC, IP40</t>
  </si>
  <si>
    <t>LA115-B2-11TD Crveni LED 220V AC</t>
  </si>
  <si>
    <t>Prekidač - Opšte Namene, Crveni LED 220V AC, Φ22mm, 1NO + 1NC, IP65/IP20</t>
  </si>
  <si>
    <t>LA115-B2-11TD Crveni LED 24V AC/DC</t>
  </si>
  <si>
    <t>Prekidač - Opšte Namene, Crveni LED 24V AC/DC, Φ22mm, 1NO + 1NC, IP65/IP20</t>
  </si>
  <si>
    <t>LA115-C-11AL Crveni</t>
  </si>
  <si>
    <t>Prekidač - Opšte Namene, Crveni, Φ16mm, 1NO + 1NC, IP40</t>
  </si>
  <si>
    <t>LA115-B2-11T Crveni</t>
  </si>
  <si>
    <t>Prekidač - Opšte Namene, Crveni, Φ22mm, 1NO + 1NC, IP65/IP20</t>
  </si>
  <si>
    <t>GQ38-11EDS Plavi Prekidač LED 220V</t>
  </si>
  <si>
    <t>Prekidač - Opšte Namene, Plavi 220V, Φ30mm / Φ22mm, 1NO + 1NC, IP40</t>
  </si>
  <si>
    <t>LA115-B2-11TD Plavi LED 220V AC</t>
  </si>
  <si>
    <t>Prekidač - Opšte Namene, Plavi LED 220V AC, Φ22mm, 1NO + 1NC, IP65/IP20</t>
  </si>
  <si>
    <t>LA115-B2-11TD Plavi LED 24V AC/DC</t>
  </si>
  <si>
    <t>Prekidač - Opšte Namene, Plavi LED 24V AC/DC, Φ22mm, 1NO + 1NC, IP65/IP20</t>
  </si>
  <si>
    <t>LA115-B2-11T Plavi</t>
  </si>
  <si>
    <t>Prekidač - Opšte Namene, Plavi, Φ22mm, 1NO + 1NC, IP65/IP20</t>
  </si>
  <si>
    <t>GQ38-11EDS Zeleni Prekidač LED 220V</t>
  </si>
  <si>
    <t>Prekidač - Opšte Namene, Zeleni 220V, Φ30mm / Φ22mm, 1NO + 1NC, IP40</t>
  </si>
  <si>
    <t>LA115-B2-11TD Zeleni LED 220V AC</t>
  </si>
  <si>
    <t>Prekidač - Opšte Namene, Zeleni LED 220V AC, Φ22mm, 1NO + 1NC, IP65/IP20</t>
  </si>
  <si>
    <t>LA115-B2-11TD Zeleni LED 24V AC/DC</t>
  </si>
  <si>
    <t>Prekidač - Opšte Namene, Zeleni LED 24V AC/DC, Φ22mm, 1NO + 1NC, IP65/IP20</t>
  </si>
  <si>
    <t>LA115-C-11AL Zeleni</t>
  </si>
  <si>
    <t>Prekidač - Opšte Namene, Zeleni, Φ16mm, 1NO + 1NC, IP40</t>
  </si>
  <si>
    <t>LA115-B2-11T Zeleni</t>
  </si>
  <si>
    <t>Prekidač - Opšte Namene, Zeleni, Φ22mm, 1NO + 1NC, IP65/IP20</t>
  </si>
  <si>
    <t>GQ38-11EDS Žuti Prekidač LED 220V</t>
  </si>
  <si>
    <t>Prekidač - Opšte Namene, Žuti 220V, Φ30mm / Φ22mm, 1NO + 1NC, IP40</t>
  </si>
  <si>
    <t>LA115-B2-11TD Žuti LED 220V AC</t>
  </si>
  <si>
    <t>Prekidač - Opšte Namene, Žuti LED 220V AC, Φ22mm, 1NO + 1NC, IP65/IP20</t>
  </si>
  <si>
    <t>LA115-B2-11TD Žuti LED 24V AC/DC</t>
  </si>
  <si>
    <t>Prekidač - Opšte Namene, Žuti LED 24V AC/DC, Φ22mm, 1NO + 1NC, IP65/IP20</t>
  </si>
  <si>
    <t>LA115-C-11AL Žuti</t>
  </si>
  <si>
    <t>Prekidač - Opšte Namene, Žuti, Φ16mm, 1NO + 1NC, IP40</t>
  </si>
  <si>
    <t>LA115-B2-11T Žuti</t>
  </si>
  <si>
    <t>Prekidač - Opšte Namene, Žuti, Φ22mm, 1NO + 1NC, IP65/IP20</t>
  </si>
  <si>
    <t>LA115-B2-11MTD Crveni LED 220V AC</t>
  </si>
  <si>
    <t>Prekidač Pečurka - Opšte Namene, Crveni LED 220V AC, Φ22mm, 1NO + 1NC, IP65/IP20</t>
  </si>
  <si>
    <t>LA115-B2-11MT Crveni</t>
  </si>
  <si>
    <t>Prekidač Pečurka - Opšte Namene, Crveni, Φ22mm, 1NO + 1NC, IP65/IP20</t>
  </si>
  <si>
    <t>LA115-B2-11MTD Zeleni LED 220V AC</t>
  </si>
  <si>
    <t>Prekidač Pečurka - Opšte Namene, Zeleni LED 220V AC, Φ22mm, 1NO + 1NC, IP65/IP20</t>
  </si>
  <si>
    <t>LA115-B2-11MT Zeleni</t>
  </si>
  <si>
    <t>Prekidač Pečurka - Opšte Namene, Zeleni, Φ22mm, 1NO + 1NC, IP65/IP20</t>
  </si>
  <si>
    <t>MP019H/TS11 SVE STOP</t>
  </si>
  <si>
    <t>Prekidač Pečurka - SVE STOP, Crveni, Φ19mm, 1NO + 1NC, IP67</t>
  </si>
  <si>
    <t>HB2-BS542 SVE STOP</t>
  </si>
  <si>
    <t>Prekidač Pečurka - SVE STOP, Crveni, Φ22mm, 1NC, IP65 / IP20</t>
  </si>
  <si>
    <t>LA115-B2-11Z SVE STOP</t>
  </si>
  <si>
    <t>Prekidač Pečurka - SVE STOP, Crveni, Φ22mm, 1NO + 1NC, IP65/IP20</t>
  </si>
  <si>
    <t>MP022B/TS11 SVE STOP</t>
  </si>
  <si>
    <t>Prekidač Pečurka - SVE STOP, Crveni, Φ22mm, 1NO + 1NC, IP67</t>
  </si>
  <si>
    <t>LA115-B2-11CXS</t>
  </si>
  <si>
    <t>Prekidač Preklopnik - 1-0-2, Crni, Φ22mm, 1NO + 1NC, IP65/IP20</t>
  </si>
  <si>
    <t>LA115-B2-11XS</t>
  </si>
  <si>
    <t>LA115-B2-20CXS</t>
  </si>
  <si>
    <t>Prekidač Preklopnik - 1-0-2, Crni, Φ22mm, 2NO, IP65/IP20</t>
  </si>
  <si>
    <t>HB2-BK3465 Crveni LED 220V AC</t>
  </si>
  <si>
    <t>Prekidač Preklopnik - 1-0-2, Crveni LED 220V AC, Φ22mm, 1NO + 1NC, IP65 / IP20</t>
  </si>
  <si>
    <t>LA115-B2-11XSD Crveni LED 220V AC</t>
  </si>
  <si>
    <t>Prekidač Preklopnik - 1-0-2, Crveni LED 220V AC, Φ22mm, 1NO + 1NC, IP65/IP20</t>
  </si>
  <si>
    <t>LA115-B2-11CXSD Crveni LED 220V AC</t>
  </si>
  <si>
    <t>MP019S/X11/3 Crveni LED 24V</t>
  </si>
  <si>
    <t>Prekidač Preklopnik - 1-0-2, Crveni LED 24V AC/DC, Φ19mm, 2NO + 2NC, IP67</t>
  </si>
  <si>
    <t>LA115-B2-11XSD Crveni LED 24V AC/DC</t>
  </si>
  <si>
    <t>Prekidač Preklopnik - 1-0-2, Crveni LED 24V AC/DC, Φ22mm, 1NO + 1NC, IP65/IP20</t>
  </si>
  <si>
    <t>LA115-B2-11CXSD Crveni LED 24V AC/DC</t>
  </si>
  <si>
    <t>HB2-BK3365 Zeleni LED 220V AC</t>
  </si>
  <si>
    <t>Prekidač Preklopnik - 1-0-2, Zeleni LED 220V AC, Φ22mm, 1NO + 1NC, IP65 / IP20</t>
  </si>
  <si>
    <t>LA115-B2-11XSD Zeleni LED 220V AC</t>
  </si>
  <si>
    <t>Prekidač Preklopnik - 1-0-2, Zeleni LED 220V AC, Φ22mm, 1NO + 1NC, IP65/IP20</t>
  </si>
  <si>
    <t>LA115-B2-11CXSD Zeleni LED 220V AC</t>
  </si>
  <si>
    <t>MP019S/X11/3 Zeleni LED 24V</t>
  </si>
  <si>
    <t>Prekidač Preklopnik - 1-0-2, Zeleni LED 24V AC/DC, Φ19mm, 2NO + 2NC, IP67</t>
  </si>
  <si>
    <t>LA115-B2-11CXSD Zeleni LED 24V AC/DC</t>
  </si>
  <si>
    <t>Prekidač Preklopnik - 1-0-2, Zeleni LED 24V AC/DC, Φ22mm, 1NO + 1NC, IP65/IP20</t>
  </si>
  <si>
    <t>LA115-B2-11XSD Zeleni LED 24V AC/DC</t>
  </si>
  <si>
    <t>LA115-B2-20CXSD Zeleni LED 24V AC/DC</t>
  </si>
  <si>
    <t>Prekidač Preklopnik - 1-0-2, Zeleni LED 24V AC/DC, Φ22mm, 2NO, IP65/IP20</t>
  </si>
  <si>
    <t>HB2-BK3565 Žuti LED 220V AC</t>
  </si>
  <si>
    <t>Prekidač Preklopnik - 1-0-2, Žuti LED 220V AC, Φ22mm, 1NO + 1NC, IP65 / IP20</t>
  </si>
  <si>
    <t>LA115-B2-11XSD Žuti LED 220V AC</t>
  </si>
  <si>
    <t>Prekidač Preklopnik - 1-0-2, Žuti LED 220V AC, Φ22mm, 1NO + 1NC, IP65/IP20</t>
  </si>
  <si>
    <t>LA115-B2-11CXSD Žuti LED 220V AC</t>
  </si>
  <si>
    <t>MP019S/X11/3 Žuti LED 24V</t>
  </si>
  <si>
    <t>Prekidač Preklopnik - 1-0-2, Žuti LED 24V AC/DC, Φ19mm, 2NO + 2NC, IP67</t>
  </si>
  <si>
    <t>LA115-B2-11CXSD Žuti LED 24V AC/DC</t>
  </si>
  <si>
    <t>Prekidač Preklopnik - 1-0-2, Žuti LED 24V AC/DC, Φ22mm, 1NO + 1NC, IP65/IP20</t>
  </si>
  <si>
    <t>LA115-B2-11XSD Žuti LED 24V AC/DC</t>
  </si>
  <si>
    <t>LA115-C-22XA</t>
  </si>
  <si>
    <t>Prekidač Preklopnik - 1-0-2, Φ16mm, 2NO + 2NC, IP65</t>
  </si>
  <si>
    <t>GXB2-BD33</t>
  </si>
  <si>
    <t>Prekidač Preklopnik - 1-0-2, Φ22mm, 2NO, IP65 / IP20</t>
  </si>
  <si>
    <t>HB2-BD33</t>
  </si>
  <si>
    <t>GXB2-BJ33</t>
  </si>
  <si>
    <t>HB2-BJ33</t>
  </si>
  <si>
    <t>LA115-B2-11CXD Beli LED 220V AC</t>
  </si>
  <si>
    <t>Prekidač Preklopnik - 1-0, Beli LED 220V AC, Φ22mm, 1NO + 1NC, IP65/IP20</t>
  </si>
  <si>
    <t>LA115-B2-11CXD Beli LED 24V AC/DC</t>
  </si>
  <si>
    <t>Prekidač Preklopnik - 1-0, Beli LED 24V AC/DC, Φ22mm, 1NO + 1NC, IP65/IP20</t>
  </si>
  <si>
    <t>LA115-B2-11CX</t>
  </si>
  <si>
    <t>Prekidač Preklopnik - 1-0, Crni, Φ22mm, 1NO + 1NC, IP65/IP20</t>
  </si>
  <si>
    <t>LA115-B2-11X</t>
  </si>
  <si>
    <t>LA115-B2-20CX</t>
  </si>
  <si>
    <t>Prekidač Preklopnik - 1-0, Crni, Φ22mm, 2NO, IP65/IP20</t>
  </si>
  <si>
    <t>HB2-BK2465 Crveni LED 220V AC</t>
  </si>
  <si>
    <t>Prekidač Preklopnik - 1-0, Crveni LED 220V AC, Φ22mm, 1NO + 1NC, IP65 / IP20</t>
  </si>
  <si>
    <t>LA115-B2-11CXD Crveni LED 220V AC</t>
  </si>
  <si>
    <t>Prekidač Preklopnik - 1-0, Crveni LED 220V AC, Φ22mm, 1NO + 1NC, IP65/IP20</t>
  </si>
  <si>
    <t>LA115-B2-11XD Crveni LED 220V AC</t>
  </si>
  <si>
    <t>MP019S/X11/2 Crveni LED 24V</t>
  </si>
  <si>
    <t>Prekidač Preklopnik - 1-0, Crveni LED 24V AC/DC, Φ19mm, 1NO + 1NC, IP67</t>
  </si>
  <si>
    <t>LA115-B2-11CXD Crveni LED 24V AC/DC</t>
  </si>
  <si>
    <t>Prekidač Preklopnik - 1-0, Crveni LED 24V AC/DC, Φ22mm, 1NO + 1NC, IP65/IP20</t>
  </si>
  <si>
    <t>LA115-B2-11XD Crveni LED 24V AC/DC</t>
  </si>
  <si>
    <t>LA115-B2-11CXD Plavi LED 220V AC</t>
  </si>
  <si>
    <t>Prekidač Preklopnik - 1-0, Plavi LED 220V AC, Φ22mm, 1NO + 1NC, IP65/IP20</t>
  </si>
  <si>
    <t>LA115-B2-11CXD Plavi LED 24V AC/DC</t>
  </si>
  <si>
    <t>Prekidač Preklopnik - 1-0, Plavi LED 24V AC/DC, Φ22mm, 1NO + 1NC, IP65/IP20</t>
  </si>
  <si>
    <t>HB2-BK2365 Zeleni LED 220V AC</t>
  </si>
  <si>
    <t>Prekidač Preklopnik - 1-0, Zeleni LED 220V AC, Φ22mm, 1NO + 1NC, IP65 / IP20</t>
  </si>
  <si>
    <t>LA115-B2-11XD Zeleni LED 220V AC</t>
  </si>
  <si>
    <t>Prekidač Preklopnik - 1-0, Zeleni LED 220V AC, Φ22mm, 1NO + 1NC, IP65/IP20</t>
  </si>
  <si>
    <t>LA115-B2-11CXD Zeleni LED 220V AC</t>
  </si>
  <si>
    <t>MP019S/X11/2 Zeleni LED 24V</t>
  </si>
  <si>
    <t>Prekidač Preklopnik - 1-0, Zeleni LED 24V AC/DC, Φ19mm, 1NO + 1NC, IP67</t>
  </si>
  <si>
    <t>LA115-B2-11XD Zeleni LED 24V AC/DC</t>
  </si>
  <si>
    <t>Prekidač Preklopnik - 1-0, Zeleni LED 24V AC/DC, Φ22mm, 1NO + 1NC, IP65/IP20</t>
  </si>
  <si>
    <t>LA115-B2-11CXD Zeleni LED 24V AC/DC</t>
  </si>
  <si>
    <t>HB2-BK2565 Žuti LED 220V AC</t>
  </si>
  <si>
    <t>Prekidač Preklopnik - 1-0, Žuti LED 220V AC, Φ22mm, 1NO + 1NC, IP65 / IP20</t>
  </si>
  <si>
    <t>LA115-B2-11CXD Žuti LED 220V AC</t>
  </si>
  <si>
    <t>Prekidač Preklopnik - 1-0, Žuti LED 220V AC, Φ22mm, 1NO + 1NC, IP65/IP20</t>
  </si>
  <si>
    <t>LA115-B2-11XD Žuti LED 220V AC</t>
  </si>
  <si>
    <t>MP019S/X11/2 Žuti LED 24V</t>
  </si>
  <si>
    <t>Prekidač Preklopnik - 1-0, Žuti LED 24V AC/DC, Φ19mm, 1NO + 1NC, IP67</t>
  </si>
  <si>
    <t>LA115-B2-11CXD Žuti LED 24V AC/DC</t>
  </si>
  <si>
    <t>Prekidač Preklopnik - 1-0, Žuti LED 24V AC/DC, Φ22mm, 1NO + 1NC, IP65/IP20</t>
  </si>
  <si>
    <t>LA115-B2-11XD Žuti LED 24V AC/DC</t>
  </si>
  <si>
    <t>LA115-C-11XA</t>
  </si>
  <si>
    <t>Prekidač Preklopnik - 1-0, Φ16mm, 1NO + 1NC, IP65</t>
  </si>
  <si>
    <t>HB2-BJ21</t>
  </si>
  <si>
    <t>Prekidač Preklopnik - 1-0, Φ22mm, 1NO, IP65 / IP20</t>
  </si>
  <si>
    <t>GXB2-BD21</t>
  </si>
  <si>
    <t>HB2-BD21</t>
  </si>
  <si>
    <t>GXB2-BJ21</t>
  </si>
  <si>
    <t>LA115-C-22YA</t>
  </si>
  <si>
    <t>Preklopnik sa Ključem - 1-0-2, Φ16mm, 2NO + 2NC, IP65</t>
  </si>
  <si>
    <t>LA115-B2-11YS</t>
  </si>
  <si>
    <t>Preklopnik sa Ključem - 1-0-2, Φ22mm, 1NO + 1NC, IP65/IP20</t>
  </si>
  <si>
    <t>HB2-BG03</t>
  </si>
  <si>
    <t>Preklopnik sa Ključem - 1-0-2, Φ22mm, 2NO, IP65 / IP20</t>
  </si>
  <si>
    <t>HB2-BG33</t>
  </si>
  <si>
    <t>LA115-C-11YA</t>
  </si>
  <si>
    <t>Preklopnik sa Ključem - 1-0, Φ16mm, 1NO + 1NC, IP65</t>
  </si>
  <si>
    <t>LA115-B2-11Y</t>
  </si>
  <si>
    <t>Preklopnik sa Ključem - 1-0, Φ22mm, 1NO + 1NC, IP65/IP20</t>
  </si>
  <si>
    <t>HB2-BG21</t>
  </si>
  <si>
    <t>Preklopnik sa Ključem - 1-0, Φ22mm, 1NO, IP65 / IP20</t>
  </si>
  <si>
    <t>HB2-BG41</t>
  </si>
  <si>
    <t>KCD1-105/N</t>
  </si>
  <si>
    <t>ROKER Prekidač - Φ20mm, 1 x ON/OFF</t>
  </si>
  <si>
    <t>DS1</t>
  </si>
  <si>
    <t>Rotacioni Preklopnik - 1 kontakt, 12 položaja</t>
  </si>
  <si>
    <t>DS2</t>
  </si>
  <si>
    <t>Rotacioni Preklopnik - 2 kontakta, 6 položaja</t>
  </si>
  <si>
    <t>DTS-24N</t>
  </si>
  <si>
    <t>Taster - Mini Taster, 7,3mm 1,6N, 12x12mm</t>
  </si>
  <si>
    <t>GQ38-11E Beli LED 24V AC/DC</t>
  </si>
  <si>
    <t>Taster - Opšte Namene, Beli 24V AC/DC, Φ30mm / Φ22mm, 1NO + 1NC, IP40</t>
  </si>
  <si>
    <t>LA115-B2-11D Beli LED 220V AC</t>
  </si>
  <si>
    <t>Taster - Opšte Namene, Beli LED 220V AC, Φ22mm, 1NO + 1NC, IP65/IP20</t>
  </si>
  <si>
    <t>HB2-BW3761 Beli LED 220V AC</t>
  </si>
  <si>
    <t>Taster - Opšte Namene, Beli LED 220V AC, Φ22mm, 1NO, IP65 / IP20</t>
  </si>
  <si>
    <t>LA115-B2-11D Beli LED 24V AC/DC</t>
  </si>
  <si>
    <t>Taster - Opšte Namene, Beli LED 24V AC/DC, Φ22mm, 1NO + 1NC, IP65/IP20</t>
  </si>
  <si>
    <t>LA115-B2-11 ↑ Beli</t>
  </si>
  <si>
    <t>Taster - Opšte Namene, Beli sa ↑ simbolom, Φ22mm, 1NO + 1NC, IP65/IP20</t>
  </si>
  <si>
    <t>LA115-B2-11 Beli</t>
  </si>
  <si>
    <t>Taster - Opšte Namene, Beli, Φ22mm, 1NO + 1NC, IP65/IP20</t>
  </si>
  <si>
    <t>GXB2-BA11</t>
  </si>
  <si>
    <t>Taster - Opšte Namene, Beli, Φ22mm, 1NO, IP65 / IP20</t>
  </si>
  <si>
    <t>HB2-BA11</t>
  </si>
  <si>
    <t>LA115-B2-11 ↑ Crni</t>
  </si>
  <si>
    <t>Taster - Opšte Namene, Crni sa ↑ simbolom, Φ22mm, 1NO + 1NC, IP65/IP20</t>
  </si>
  <si>
    <t>LA115-B2-11 Crni</t>
  </si>
  <si>
    <t>Taster - Opšte Namene, Crni, Φ22mm, 1NO + 1NC, IP65/IP20</t>
  </si>
  <si>
    <t>GXB2-BA21</t>
  </si>
  <si>
    <t>Taster - Opšte Namene, Crni, Φ22mm, 1NO, IP65 / IP20</t>
  </si>
  <si>
    <t>HB2-BA21</t>
  </si>
  <si>
    <t>GQ38-11E Crveni LED 24V AC/DC</t>
  </si>
  <si>
    <t>Taster - Opšte Namene, Crveni 24V AC/DC, Φ30mm / Φ22mm, 1NO + 1NC, IP40</t>
  </si>
  <si>
    <t>LA115-C-11AD Crveni LED 220V AC</t>
  </si>
  <si>
    <t>Taster - Opšte Namene, Crveni LED 220V AC, Φ16mm, 1NO + 1NC, IP40</t>
  </si>
  <si>
    <t>LA115-B2-11D Crveni LED 220V AC</t>
  </si>
  <si>
    <t>Taster - Opšte Namene, Crveni LED 220V AC, Φ22mm, 1NO + 1NC, IP65/IP20</t>
  </si>
  <si>
    <t>HB2-BW3461 Crveni LED 220V AC</t>
  </si>
  <si>
    <t>Taster - Opšte Namene, Crveni LED 220V AC, Φ22mm, 1NO, IP65 / IP20</t>
  </si>
  <si>
    <t>LA115-C-11AD Crveni LED 24V AC/DC</t>
  </si>
  <si>
    <t>Taster - Opšte Namene, Crveni LED 24V AC/DC, Φ16mm, 1NO + 1NC, IP40</t>
  </si>
  <si>
    <t>LA115-B2-11D Crveni LED 24V AC/DC</t>
  </si>
  <si>
    <t>Taster - Opšte Namene, Crveni LED 24V AC/DC, Φ22mm, 1NO + 1NC, IP65/IP20</t>
  </si>
  <si>
    <t>LA115-B2-11 0 Crveni</t>
  </si>
  <si>
    <t>Taster - Opšte Namene, Crveni sa 0 simbolom, Φ22mm, 1NO + 1NC, IP65/IP20</t>
  </si>
  <si>
    <t>LA115-C-11A Crveni</t>
  </si>
  <si>
    <t>Taster - Opšte Namene, Crveni, Φ16mm, 1NO + 1NC, IP40</t>
  </si>
  <si>
    <t>GXB2-BA42</t>
  </si>
  <si>
    <t>Taster - Opšte Namene, Crveni, Φ22mm, 1NC, IP65 / IP20</t>
  </si>
  <si>
    <t>HB2-BA42</t>
  </si>
  <si>
    <t>LA38-11 Crveni</t>
  </si>
  <si>
    <t>Taster - Opšte Namene, Crveni, Φ22mm, 1NO + 1NC, IP40/IP20</t>
  </si>
  <si>
    <t>LA115-B2-11 Crveni</t>
  </si>
  <si>
    <t>Taster - Opšte Namene, Crveni, Φ22mm, 1NO + 1NC, IP65/IP20</t>
  </si>
  <si>
    <t>LA115-B1-11 Crveni</t>
  </si>
  <si>
    <t>GQ38-11E Plavi LED 24V AC/DC</t>
  </si>
  <si>
    <t>Taster - Opšte Namene, Plavi 24V AC/DC, Φ30mm / Φ22mm, 1NO + 1NC, IP40</t>
  </si>
  <si>
    <t>LA115-B2-11D Plavi LED 220V AC</t>
  </si>
  <si>
    <t>Taster - Opšte Namene, Plavi LED 220V AC, Φ22mm, 1NO + 1NC, IP65/IP20</t>
  </si>
  <si>
    <t>HB2-BW3661 Plavi LED 220V AC</t>
  </si>
  <si>
    <t>Taster - Opšte Namene, Plavi LED 220V AC, Φ22mm, 1NO, IP65 / IP20</t>
  </si>
  <si>
    <t>LA115-B2-11D Plavi LED 24V AC/DC</t>
  </si>
  <si>
    <t>Taster - Opšte Namene, Plavi LED 24V AC/DC, Φ22mm, 1NO + 1NC, IP65/IP20</t>
  </si>
  <si>
    <t>LA115-B2-11 Plavi</t>
  </si>
  <si>
    <t>Taster - Opšte Namene, Plavi, Φ22mm, 1NO + 1NC, IP65/IP20</t>
  </si>
  <si>
    <t>HB2-BA61</t>
  </si>
  <si>
    <t>Taster - Opšte Namene, Plavi, Φ22mm, 1NO, IP65 / IP20</t>
  </si>
  <si>
    <t>GXB2-BA61</t>
  </si>
  <si>
    <t>GQ38-11E Zeleni LED 24V AC/DC</t>
  </si>
  <si>
    <t>Taster - Opšte Namene, Zeleni 24V AC/DC, Φ30mm / Φ22mm, 1NO + 1NC, IP40</t>
  </si>
  <si>
    <t>LA115-C-11AD Zeleni LED 220V AC</t>
  </si>
  <si>
    <t>Taster - Opšte Namene, Zeleni LED 220V AC, Φ16mm, 1NO + 1NC, IP40</t>
  </si>
  <si>
    <t>LA115-C-22AD Zeleni LED 220V AC</t>
  </si>
  <si>
    <t>Taster - Opšte Namene, Zeleni LED 220V AC, Φ16mm, 2NO + 2NC, IP40</t>
  </si>
  <si>
    <t>LA115-B2-11D Zeleni LED 220V AC</t>
  </si>
  <si>
    <t>Taster - Opšte Namene, Zeleni LED 220V AC, Φ22mm, 1NO + 1NC, IP65/IP20</t>
  </si>
  <si>
    <t>HB2-BW3361 Zeleni LED 220V AC</t>
  </si>
  <si>
    <t>Taster - Opšte Namene, Zeleni LED 220V AC, Φ22mm, 1NO, IP65 / IP20</t>
  </si>
  <si>
    <t>LA115-C-11AD Zeleni LED 24V AC/DC</t>
  </si>
  <si>
    <t>Taster - Opšte Namene, Zeleni LED 24V AC/DC, Φ16mm, 1NO + 1NC, IP40</t>
  </si>
  <si>
    <t>LA115-C-22AD Zeleni LED 24V AC/DC</t>
  </si>
  <si>
    <t>Taster - Opšte Namene, Zeleni LED 24V AC/DC, Φ16mm, 2NO + 2NC, IP40</t>
  </si>
  <si>
    <t>LA115-B2-11D Zeleni LED 24V AC/DC</t>
  </si>
  <si>
    <t>Taster - Opšte Namene, Zeleni LED 24V AC/DC, Φ22mm, 1NO + 1NC, IP65/IP20</t>
  </si>
  <si>
    <t>LA115-B2-11 I Zeleni</t>
  </si>
  <si>
    <t>Taster - Opšte Namene, Zeleni sa I simbolom, Φ22mm, 1NO + 1NC, IP65/IP20</t>
  </si>
  <si>
    <t>LA115-C-11A Zeleni</t>
  </si>
  <si>
    <t>Taster - Opšte Namene, Zeleni, Φ16mm, 1NO + 1NC, IP40</t>
  </si>
  <si>
    <t>LA38-11 Zeleni</t>
  </si>
  <si>
    <t>Taster - Opšte Namene, Zeleni, Φ22mm, 1NO + 1NC, IP40/IP20</t>
  </si>
  <si>
    <t>LA115-B2-11 Zeleni</t>
  </si>
  <si>
    <t>Taster - Opšte Namene, Zeleni, Φ22mm, 1NO + 1NC, IP65/IP20</t>
  </si>
  <si>
    <t>HB2-BA31</t>
  </si>
  <si>
    <t>Taster - Opšte Namene, Zeleni, Φ22mm, 1NO, IP65 / IP20</t>
  </si>
  <si>
    <t>GXB2-BA31</t>
  </si>
  <si>
    <t>GQ38-11E Žuti LED 24V AC/DC</t>
  </si>
  <si>
    <t>Taster - Opšte Namene, Žuti 24V AC/DC, Φ30mm / Φ22mm, 1NO + 1NC, IP40</t>
  </si>
  <si>
    <t>LA115-C-11AD Žuti LED 220V AC</t>
  </si>
  <si>
    <t>Taster - Opšte Namene, Žuti LED 220V AC, Φ16mm, 1NO + 1NC, IP40</t>
  </si>
  <si>
    <t>LA115-B2-11D Žuti LED 220V AC</t>
  </si>
  <si>
    <t>Taster - Opšte Namene, Žuti LED 220V AC, Φ22mm, 1NO + 1NC, IP65/IP20</t>
  </si>
  <si>
    <t>HB2-BW3561 Žuti LED 220V AC</t>
  </si>
  <si>
    <t>Taster - Opšte Namene, Žuti LED 220V AC, Φ22mm, 1NO, IP65 / IP20</t>
  </si>
  <si>
    <t>LA115-C-11AD Žuti LED 24V AC/DC</t>
  </si>
  <si>
    <t>Taster - Opšte Namene, Žuti LED 24V AC/DC, Φ16mm, 1NO + 1NC, IP40</t>
  </si>
  <si>
    <t>LA115-B2-11D Žuti LED 24V AC/DC</t>
  </si>
  <si>
    <t>Taster - Opšte Namene, Žuti LED 24V AC/DC, Φ22mm, 1NO + 1NC, IP65/IP20</t>
  </si>
  <si>
    <t>LA115-B2-11 ↑ Žuti</t>
  </si>
  <si>
    <t>Taster - Opšte Namene, Žuti sa ↑ simbolom, Φ22mm, 1NO + 1NC, IP65/IP20</t>
  </si>
  <si>
    <t>LA115-C-11A Žuti</t>
  </si>
  <si>
    <t>Taster - Opšte Namene, Žuti, Φ16mm, 1NO + 1NC, IP40</t>
  </si>
  <si>
    <t>LA38-11 Žuti</t>
  </si>
  <si>
    <t>Taster - Opšte Namene, Žuti, Φ22mm, 1NO + 1NC, IP40/IP20</t>
  </si>
  <si>
    <t>LA115-B2-11 Žuti</t>
  </si>
  <si>
    <t>Taster - Opšte Namene, Žuti, Φ22mm, 1NO + 1NC, IP65/IP20</t>
  </si>
  <si>
    <t>HB2-BA51</t>
  </si>
  <si>
    <t>Taster - Opšte Namene, Žuti, Φ22mm, 1NO, IP65 / IP20</t>
  </si>
  <si>
    <t>GXB2-BA51</t>
  </si>
  <si>
    <t>HB2-BW8465 LED 220V AC</t>
  </si>
  <si>
    <t>Taster - START/STOP, LED 220V AC, Φ22mm, 1NO + 1NC, IP65 / IP20</t>
  </si>
  <si>
    <t>LA115-B5-11RD</t>
  </si>
  <si>
    <t>Taster - START/STOP, Φ22mm, 1NO + 1NC, IP40, Signalna Sijalica 220VAC</t>
  </si>
  <si>
    <t>HB2-BL8425</t>
  </si>
  <si>
    <t>Taster - START/STOP, Φ22mm, 1NO + 1NC, IP65 / IP20</t>
  </si>
  <si>
    <t>LA115-B1-11R</t>
  </si>
  <si>
    <t>Taster - START/STOP, Φ22mm, 1NO + 1NC, IP65/IP20</t>
  </si>
  <si>
    <t>LA115-B1-11RD</t>
  </si>
  <si>
    <t>Taster - START/STOP, Φ22mm, 1NO + 1NC, IP65/IP20, Signalna Sijalica 220VAC</t>
  </si>
  <si>
    <t>APBB-22</t>
  </si>
  <si>
    <t>HB2-BC21</t>
  </si>
  <si>
    <t>Taster Pečurka - Crni, Φ22mm, 1NO, IP65 / IP20</t>
  </si>
  <si>
    <t>LA115-C-11ZS</t>
  </si>
  <si>
    <t>Taster Pečurka - Crveni, Φ16mm, 1NO + 1NC, IP40</t>
  </si>
  <si>
    <t>GXB2-BS542</t>
  </si>
  <si>
    <t>Taster Pečurka - Crveni, Φ22mm, 1NC, IP65 / IP20</t>
  </si>
  <si>
    <t>HB2-BC42</t>
  </si>
  <si>
    <t>LA115-B2-11M Crveni</t>
  </si>
  <si>
    <t>Taster Pečurka - Crveni, Φ22mm, 1NO + 1NC, IP65/IP20</t>
  </si>
  <si>
    <t>LA115-B2-11MD Crveni LED 220V AC</t>
  </si>
  <si>
    <t>Taster Pečurka - Opšte Namene, Crveni LED 220V AC, Φ22mm, 1NO + 1NC, IP65/IP20</t>
  </si>
  <si>
    <t>LA115-B2-11MD Crveni LED 24V AC/DC</t>
  </si>
  <si>
    <t>Taster Pečurka - Opšte Namene, Crveni LED 24V AC/DC, Φ22mm, 1NO + 1NC, IP65/IP20</t>
  </si>
  <si>
    <t>LA115-B2-11MD Zeleni LED 220V AC</t>
  </si>
  <si>
    <t>Taster Pečurka - Opšte Namene, Zeleni LED 220V AC, Φ22mm, 1NO + 1NC, IP65/IP20</t>
  </si>
  <si>
    <t>LA115-B2-11MD Zeleni LED 24V AC/DC</t>
  </si>
  <si>
    <t>Taster Pečurka - Opšte Namene, Zeleni LED 24V AC/DC, Φ22mm, 1NO + 1NC, IP65/IP20</t>
  </si>
  <si>
    <t>LA115-B2-11M Zeleni</t>
  </si>
  <si>
    <t>Taster Pečurka - Zeleni, Φ22mm, 1NO + 1NC, IP65/IP20</t>
  </si>
  <si>
    <t>HB2-BC31</t>
  </si>
  <si>
    <t>Taster Pečurka - Zeleni, Φ22mm, 1NO, IP65 / IP20</t>
  </si>
  <si>
    <t>HB2-BC51</t>
  </si>
  <si>
    <t>Taster Pečurka - Žuti, Φ22mm, 1NO, IP65 / IP20</t>
  </si>
  <si>
    <t>PBS-11A Crni</t>
  </si>
  <si>
    <t>Taster Prekidač - Opšte Namene, Crni, Φ12mm, ON - OFF, 1A 250VAC, IP40</t>
  </si>
  <si>
    <t>PBS-11A Crveni</t>
  </si>
  <si>
    <t>Taster Prekidač - Opšte Namene, Crveni, Φ12mm, ON - OFF, 1A 250VAC, IP40</t>
  </si>
  <si>
    <t>PBS-11A Zeleni</t>
  </si>
  <si>
    <t>Taster Prekidač - Opšte Namene, Zeleni, Φ12mm, ON - OFF, 1A 250VAC, IP40</t>
  </si>
  <si>
    <t>PBS-11A Žuti</t>
  </si>
  <si>
    <t>Taster Prekidač - Opšte Namene, Žuti, Φ12mm, ON - OFF, 1A 250VAC, IP40</t>
  </si>
  <si>
    <t>GXB2-BJ53</t>
  </si>
  <si>
    <t>Taster Preklopnik - 1-0-2, Φ22mm, 2NO, IP65 / IP20</t>
  </si>
  <si>
    <t>HB2-BD53</t>
  </si>
  <si>
    <t>HB2-BJ53</t>
  </si>
  <si>
    <t>GXB2-BD53</t>
  </si>
  <si>
    <t>GXB2-BJ41</t>
  </si>
  <si>
    <t>Taster Preklopnik - 1-0, Φ22mm, 1NO, IP65 / IP20</t>
  </si>
  <si>
    <t>HB2-BD41</t>
  </si>
  <si>
    <t>HB2-BJ41</t>
  </si>
  <si>
    <t>GXB2-BD41</t>
  </si>
  <si>
    <t>HB2-BG61</t>
  </si>
  <si>
    <t>Taster Preklopnik sa Ključem - 1-0, Φ22mm, 1NO, IP65 / IP20</t>
  </si>
  <si>
    <t>LA115-22FW Alat za Pritezanje</t>
  </si>
  <si>
    <t>Alat za Pritezanje Tastera i Prekidača - Φ22mm, Za LA115 seriju tastera i prekidača</t>
  </si>
  <si>
    <t>LA115-HB Emergency Stop</t>
  </si>
  <si>
    <t>Emergency Stop Montažna Pločica - Φ22mm, Za LA115 seriju tastera i prekidača</t>
  </si>
  <si>
    <t>MP019E/CON Konektor sa Kablovima</t>
  </si>
  <si>
    <t>Konektor sa Kablovima - Za MP019 antivandal Φ19mm metalne tastere</t>
  </si>
  <si>
    <t>MP022E/CON Konektor sa Kablovima</t>
  </si>
  <si>
    <t>Konektor sa Kablovima - Za MP022 antivandal Φ22mm metalne tastere</t>
  </si>
  <si>
    <t>GQ38-B-D Beli 12V AC/DC</t>
  </si>
  <si>
    <t>LED Dodatak - Beli, 12V AC/DC, Za GQ38 seriju tastera i prekidača</t>
  </si>
  <si>
    <t>GQ38-B-D Beli 220V AC</t>
  </si>
  <si>
    <t>LED Dodatak - Beli, 220V AC, Za GQ38 seriju tastera i prekidača</t>
  </si>
  <si>
    <t>BA9S Beli 220V AC</t>
  </si>
  <si>
    <t>LED Dodatak - Beli, 220V AC, Za HB2 seriju tastera i prekidača</t>
  </si>
  <si>
    <t>LA115-B-D Beli 220V AC</t>
  </si>
  <si>
    <t>LED Dodatak - Beli, 220V AC, Za LA115 seriju tastera i prekidača</t>
  </si>
  <si>
    <t>BA9S Beli 24V AC/DC</t>
  </si>
  <si>
    <t>LED Dodatak - Beli, 24V AC/DC, Za HB2 seriju tastera i prekidača</t>
  </si>
  <si>
    <t>LA115-B-D Beli 24V AC/DC</t>
  </si>
  <si>
    <t>LED Dodatak - Beli, 24V AC/DC, Za LA115 seriju tastera i prekidača</t>
  </si>
  <si>
    <t>GQ38-B-D Crveni 12V AC/DC</t>
  </si>
  <si>
    <t>LED Dodatak - Crveni, 12V AC/DC, Za GQ38 seriju tastera i prekidača</t>
  </si>
  <si>
    <t>GQ38-B-D Crveni 220V AC</t>
  </si>
  <si>
    <t>LED Dodatak - Crveni, 220V AC, Za GQ38 seriju tastera i prekidača</t>
  </si>
  <si>
    <t>BA9S Crveni 220V AC</t>
  </si>
  <si>
    <t>LED Dodatak - Crveni, 220V AC, Za HB2 seriju tastera i prekidača</t>
  </si>
  <si>
    <t>LA115-B-D Crveni 220V AC</t>
  </si>
  <si>
    <t>LED Dodatak - Crveni, 220V AC, Za LA115 seriju tastera i prekidača</t>
  </si>
  <si>
    <t>BA9S Crveni 24V AC/DC</t>
  </si>
  <si>
    <t>LED Dodatak - Crveni, 24V AC/DC, Za HB2 seriju tastera i prekidača</t>
  </si>
  <si>
    <t>LA115-B-D Crveni 24V AC/DC</t>
  </si>
  <si>
    <t>LED Dodatak - Crveni, 24V AC/DC, Za LA115 seriju tastera i prekidača</t>
  </si>
  <si>
    <t>GQ38-B-D Plavi 12V AC/DC</t>
  </si>
  <si>
    <t>LED Dodatak - Plavi, 12V AC/DC, Za GQ38 seriju tastera i prekidača</t>
  </si>
  <si>
    <t>GQ38-B-D Plavi 220V AC</t>
  </si>
  <si>
    <t>LED Dodatak - Plavi, 220V AC, Za GQ38 seriju tastera i prekidača</t>
  </si>
  <si>
    <t>BA9S Plavi 220V AC</t>
  </si>
  <si>
    <t>LED Dodatak - Plavi, 220V AC, Za HB2 seriju tastera i prekidača</t>
  </si>
  <si>
    <t>LA115-B-D Plavi 220V AC</t>
  </si>
  <si>
    <t>LED Dodatak - Plavi, 220V AC, Za LA115 seriju tastera i prekidača</t>
  </si>
  <si>
    <t>BA9S Plavi 24V AC/DC</t>
  </si>
  <si>
    <t>LED Dodatak - Plavi, 24V AC/DC, Za HB2 seriju tastera i prekidača</t>
  </si>
  <si>
    <t>LA115-B-D Plavi 24V AC/DC</t>
  </si>
  <si>
    <t>LED Dodatak - Plavi, 24V AC/DC, Za LA115 seriju tastera i prekidača</t>
  </si>
  <si>
    <t>GQ38-B-D Zeleni 12V AC/DC</t>
  </si>
  <si>
    <t>LED Dodatak - Zeleni, 12V AC/DC, Za GQ38 seriju tastera i prekidača</t>
  </si>
  <si>
    <t>GQ38-B-D Zeleni 220V AC</t>
  </si>
  <si>
    <t>LED Dodatak - Zeleni, 220V AC, Za GQ38 seriju tastera i prekidača</t>
  </si>
  <si>
    <t>BA9S Zeleni 220V AC</t>
  </si>
  <si>
    <t>LED Dodatak - Zeleni, 220V AC, Za HB2 seriju tastera i prekidača</t>
  </si>
  <si>
    <t>LA115-B-D Zeleni 220V AC</t>
  </si>
  <si>
    <t>LED Dodatak - Zeleni, 220V AC, Za LA115 seriju tastera i prekidača</t>
  </si>
  <si>
    <t>BA9S Zeleni 24V AC/DC</t>
  </si>
  <si>
    <t>LED Dodatak - Zeleni, 24V AC/DC, Za HB2 seriju tastera i prekidača</t>
  </si>
  <si>
    <t>LA115-B-D Zeleni 24V AC/DC</t>
  </si>
  <si>
    <t>LED Dodatak - Zeleni, 24V AC/DC, Za LA115 seriju tastera i prekidača</t>
  </si>
  <si>
    <t>GQ38-B-D Žuti 12V AC/DC</t>
  </si>
  <si>
    <t>LED Dodatak - Žuti, 12V AC/DC, Za GQ38 seriju tastera i prekidača</t>
  </si>
  <si>
    <t>GQ38-B-D Žuti 220V AC</t>
  </si>
  <si>
    <t>LED Dodatak - Žuti, 220V AC, Za GQ38 seriju tastera i prekidača</t>
  </si>
  <si>
    <t>BA9S Žuti 220V AC</t>
  </si>
  <si>
    <t>LED Dodatak - Žuti, 220V AC, Za HB2 seriju tastera i prekidača</t>
  </si>
  <si>
    <t>LA115-B-D Žuti 220V AC</t>
  </si>
  <si>
    <t>LED Dodatak - Žuti, 220V AC, Za LA115 seriju tastera i prekidača</t>
  </si>
  <si>
    <t>BA9S Žuti 24V AC/DC</t>
  </si>
  <si>
    <t>LED Dodatak - Žuti, 24V AC/DC, Za HB2 seriju tastera i prekidača</t>
  </si>
  <si>
    <t>LA115-B-D Žuti 24V AC/DC</t>
  </si>
  <si>
    <t>LED Dodatak - Žuti, 24V AC/DC, Za LA115 seriju tastera i prekidača</t>
  </si>
  <si>
    <t>GXB2-EH2201 Pločica za Obeležavanje</t>
  </si>
  <si>
    <t>Montažna Pločica za Obeležavanje - Φ22mm, Za sve serije tastera i prekidača</t>
  </si>
  <si>
    <t>GXB2-EB22P Zaštitna Kapa</t>
  </si>
  <si>
    <t>Montažna Zaštitna Kapa - Φ22mm, Za sve serije tastera i prekidača</t>
  </si>
  <si>
    <t>GXB2-EM01 Nalepnica</t>
  </si>
  <si>
    <t>Nalepnica - Pakovanje od 10kom, Za sve serije tastera i prekidača</t>
  </si>
  <si>
    <t>GXB2-EB30 Plastična Zaštita</t>
  </si>
  <si>
    <t>Plastična Zaštita - R30mm, Φ22mm, Za sve serije tastera i prekidača</t>
  </si>
  <si>
    <t>GXB2-EB40 Plastična Zaštita</t>
  </si>
  <si>
    <t>Plastična Zaštita - R40mm, Φ22mm, Za sve serije tastera i prekidača</t>
  </si>
  <si>
    <t>GXB2-PB16 Plastični Čep</t>
  </si>
  <si>
    <t>Plastični Čep - Φ16mm, Za sve serije tastera i prekidača</t>
  </si>
  <si>
    <t>GXB2-PB22 Plastični Čep</t>
  </si>
  <si>
    <t>Plastični Čep - Φ22mm, Za sve serije tastera i prekidača</t>
  </si>
  <si>
    <t>GXB2-PB30 Plastični Čep</t>
  </si>
  <si>
    <t>Plastični Čep - Φ30mm, Za sve serije tastera i prekidača</t>
  </si>
  <si>
    <t>BE102</t>
  </si>
  <si>
    <t>Pomoćni Kontakt - 1NC, Za HB2 i GXB2 seriju tastera i prekidača</t>
  </si>
  <si>
    <t>LA115-B-11</t>
  </si>
  <si>
    <t>Pomoćni Kontakt - 1NO + 1NC, Za LA115 seriju tastera i prekidača</t>
  </si>
  <si>
    <t>BE101</t>
  </si>
  <si>
    <t>Pomoćni Kontakt - 1NO, Za HB2 i GXB2 seriju tastera i prekidača</t>
  </si>
  <si>
    <t>LA115-B-02</t>
  </si>
  <si>
    <t>Pomoćni Kontakt - 2NC, Za LA115 seriju tastera i prekidača</t>
  </si>
  <si>
    <t>LA115-B-20</t>
  </si>
  <si>
    <t>Pomoćni Kontakt - 2NO, Za LA115 seriju tastera i prekidača</t>
  </si>
  <si>
    <t>GXB2-ER30 Reducir</t>
  </si>
  <si>
    <t>Reducir za Montažu - Φ30mm → Φ22mm, Za sve serije tastera i prekidača</t>
  </si>
  <si>
    <t>GXB2-PE22B Silikonska Zaštitna Kapa</t>
  </si>
  <si>
    <t>Silikonska Zaštitna Kapa - Za START/STOP tastere i prekidače</t>
  </si>
  <si>
    <t>GXB2-PE22A Silikonska Zaštitna Kapa</t>
  </si>
  <si>
    <t>Silikonska Zaštitna Kapa - Φ22mm, Za sve serije tastera i prekidača</t>
  </si>
  <si>
    <t>Teg 100g</t>
  </si>
  <si>
    <t>Teg - 100g, Klasa Preciznosti M1, ±5mg</t>
  </si>
  <si>
    <t>Teg 1kg</t>
  </si>
  <si>
    <t>Teg - 1kg, Klasa Preciznosti M1, ±50mg</t>
  </si>
  <si>
    <t>Teg 200g</t>
  </si>
  <si>
    <t>Teg - 200g, Klasa Preciznosti M1, ±10mg</t>
  </si>
  <si>
    <t>Teg 2kg</t>
  </si>
  <si>
    <t>Teg - 2kg, Klasa Preciznosti M1, ±100mg</t>
  </si>
  <si>
    <t>Teg 500g</t>
  </si>
  <si>
    <t>Teg - 500g, Klasa Preciznosti M1, ±25mg</t>
  </si>
  <si>
    <t>Teg 5kg</t>
  </si>
  <si>
    <t>Teg - 5kg, Klasa Preciznosti M1, ±250mg</t>
  </si>
  <si>
    <t>WRNK Ø1x100mm J 1.5m</t>
  </si>
  <si>
    <t>Temperaturna Sonda - J (Fe-CuNi), Ø1x100mm, Mantle, Širmovan dvožični kabl 1.5m, &lt; 400°C</t>
  </si>
  <si>
    <t>WRNK Ø1x200mm J 1.5m</t>
  </si>
  <si>
    <t>Temperaturna Sonda - J (Fe-CuNi), Ø1x200mm, Mantle, Širmovan dvožični kabl 1.5m, &lt; 400°C</t>
  </si>
  <si>
    <t>WRNK Ø1x300mm J 1.5m</t>
  </si>
  <si>
    <t>Temperaturna Sonda - J (Fe-CuNi), Ø1x300mm, Mantle, Širmovan dvožični kabl 1.5m, &lt; 400°C</t>
  </si>
  <si>
    <t>WZPX-505 Ø3x30mm J 2m</t>
  </si>
  <si>
    <t>Temperaturna Sonda - J (Fe-CuNi), Ø3x30mm, Širmovan trožični kabl 2m, do 400°C</t>
  </si>
  <si>
    <t>WZPX-505 Ø4x30mm J 2m</t>
  </si>
  <si>
    <t>Temperaturna Sonda - J (Fe-CuNi), Ø4x30mm, Širmovan trožični kabl 2m, do 400°C</t>
  </si>
  <si>
    <t>WRJX-31 Ø5x10mm M6 J 2m</t>
  </si>
  <si>
    <t>Temperaturna Sonda - J (Fe-CuNi), Ø5x10mm, M6, Širmovan dvožični kabl 2m, do 400°C</t>
  </si>
  <si>
    <t>WRJX-31 Ø5x10mm M8 J 2m</t>
  </si>
  <si>
    <t>Temperaturna Sonda - J (Fe-CuNi), Ø5x10mm, M8, Širmovan dvožični kabl 2m, do 400°C</t>
  </si>
  <si>
    <t>WRJX-31 Ø5x10mm M8 J 3m</t>
  </si>
  <si>
    <t>Temperaturna Sonda - J (Fe-CuNi), Ø5x10mm, M8, Širmovan dvožični kabl 3m, do 400°C</t>
  </si>
  <si>
    <t>DSJCF Ø5x15mm J 1.5m</t>
  </si>
  <si>
    <t>Temperaturna Sonda - J (Fe-CuNi), Ø5x15mm, Fleksibilna, Širmovan dvožični kabl 1.5m, &lt; 300°C</t>
  </si>
  <si>
    <t>DSJCF Ø5x20mm J 1.5m</t>
  </si>
  <si>
    <t>Temperaturna Sonda - J (Fe-CuNi), Ø5x20mm, Fleksibilna, Širmovan dvožični kabl 1.5m, &lt; 300°C</t>
  </si>
  <si>
    <t>DSJCF Ø5x20mm J 2m</t>
  </si>
  <si>
    <t>Temperaturna Sonda - J (Fe-CuNi), Ø5x20mm, Fleksibilna, Širmovan dvožični kabl 2m, &lt; 300°C</t>
  </si>
  <si>
    <t>DSJCF Ø5x30mm J 1.5m</t>
  </si>
  <si>
    <t>Temperaturna Sonda - J (Fe-CuNi), Ø5x30mm, Fleksibilna, Širmovan dvožični kabl 1.5m, &lt; 300°C</t>
  </si>
  <si>
    <t>WZPX-505 Ø5x30mm J 2m</t>
  </si>
  <si>
    <t>Temperaturna Sonda - J (Fe-CuNi), Ø5x30mm, Širmovan trožični kabl 2m, do 400°C</t>
  </si>
  <si>
    <t>WZPX-505 Ø5x30mm J 3m</t>
  </si>
  <si>
    <t>Temperaturna Sonda - J (Fe-CuNi), Ø5x30mm, Širmovan trožični kabl 3m, do 400°C</t>
  </si>
  <si>
    <t>WZPX-505 Ø5x30mm J 5m</t>
  </si>
  <si>
    <t>Temperaturna Sonda - J (Fe-CuNi), Ø5x30mm, Širmovan trožični kabl 5m, do 400°C</t>
  </si>
  <si>
    <t>WRJX-21 Ø5x40mm M12 J 2m</t>
  </si>
  <si>
    <t>Temperaturna Sonda - J (Fe-CuNi), Ø5x40mm, M12, Širmovan dvožični kabl 2m, do 400°C</t>
  </si>
  <si>
    <t>WRJX-21 Ø5x40mm M12 J 3m</t>
  </si>
  <si>
    <t>Temperaturna Sonda - J (Fe-CuNi), Ø5x40mm, M12, Širmovan dvožični kabl 3m, do 400°C</t>
  </si>
  <si>
    <t>WRJX-21 Ø5x40mm M8 J 3m</t>
  </si>
  <si>
    <t>Temperaturna Sonda - J (Fe-CuNi), Ø5x40mm, M8, Širmovan dvožični kabl 3m, do 400°C</t>
  </si>
  <si>
    <t>DSJCF Ø5x50mm J 2m</t>
  </si>
  <si>
    <t>Temperaturna Sonda - J (Fe-CuNi), Ø5x50mm, Fleksibilna, Širmovan dvožični kabl 2m, &lt; 300°C</t>
  </si>
  <si>
    <t>DSJB Ø8x20mm G3/8 J 1.5m</t>
  </si>
  <si>
    <t>Temperaturna Sonda - J (Fe-CuNi), Ø8x20mm, G3/8 Bajonet, Širmovan dvožični kabl 1.5m, &lt; 400°C</t>
  </si>
  <si>
    <t>DSJB Ø8x20mm G3/8 J 2.5m</t>
  </si>
  <si>
    <t>Temperaturna Sonda - J (Fe-CuNi), Ø8x20mm, G3/8 Bajonet, Širmovan dvožični kabl 2.5m, &lt; 400°C</t>
  </si>
  <si>
    <t>DSJB Ø8x20mm G3/8 J 2m</t>
  </si>
  <si>
    <t>Temperaturna Sonda - J (Fe-CuNi), Ø8x20mm, G3/8 Bajonet, Širmovan dvožični kabl 2m, &lt; 400°C</t>
  </si>
  <si>
    <t>DSJB Ø8x20mm G3/8 J 3m</t>
  </si>
  <si>
    <t>Temperaturna Sonda - J (Fe-CuNi), Ø8x20mm, G3/8 Bajonet, Širmovan dvožični kabl 3m, &lt; 400°C</t>
  </si>
  <si>
    <t>DSKK Ø10x300mm K</t>
  </si>
  <si>
    <t>Temperaturna Sonda - K (NiCr-Ni), Ø10x300mm, Keramička, &lt; 1200°C</t>
  </si>
  <si>
    <t>DSKK Ø12x300mm K</t>
  </si>
  <si>
    <t>Temperaturna Sonda - K (NiCr-Ni), Ø12x300mm, Keramička, &lt; 1200°C</t>
  </si>
  <si>
    <t>DSKK Ø14x300mm K</t>
  </si>
  <si>
    <t>Temperaturna Sonda - K (NiCr-Ni), Ø14x300mm, Keramička, &lt; 1200°C</t>
  </si>
  <si>
    <t>DSKKM Ø16x200mm K</t>
  </si>
  <si>
    <t>Temperaturna Sonda - K (NiCr-Ni), Ø16x200mm, Keramička / Metalna, &lt; 800°C</t>
  </si>
  <si>
    <t>DSKKM Ø16x250mm K</t>
  </si>
  <si>
    <t>Temperaturna Sonda - K (NiCr-Ni), Ø16x250mm, Keramička / Metalna, &lt; 800°C</t>
  </si>
  <si>
    <t>DSKK Ø16x300mm K</t>
  </si>
  <si>
    <t>Temperaturna Sonda - K (NiCr-Ni), Ø16x300mm, Keramička, &lt; 1200°C</t>
  </si>
  <si>
    <t>WRN-120 Ø16x300mm K</t>
  </si>
  <si>
    <t>Temperaturna Sonda - K (NiCr-Ni), Ø16x300mm, Priključna Glava, do 800°C</t>
  </si>
  <si>
    <t>WRN-320 Ø16x350mm K</t>
  </si>
  <si>
    <t>Temperaturna Sonda - K (NiCr-Ni), Ø16x350mm, IP65, &lt; 1100°C</t>
  </si>
  <si>
    <t>WRN-320 Ø16x750mm K</t>
  </si>
  <si>
    <t>Temperaturna Sonda - K (NiCr-Ni), Ø16x750mm, IP65, &lt; 1100°C</t>
  </si>
  <si>
    <t>WRNK Ø1x100mm K 1.5m</t>
  </si>
  <si>
    <t>Temperaturna Sonda - K (NiCr-Ni), Ø1x100mm, Mantle, Širmovan dvožični kabl 1.5m, &lt; 800°C</t>
  </si>
  <si>
    <t>WRNK Ø1x200mm K 1.5m</t>
  </si>
  <si>
    <t>Temperaturna Sonda - K (NiCr-Ni), Ø1x200mm, Mantle, Širmovan dvožični kabl 1.5m, &lt; 800°C</t>
  </si>
  <si>
    <t>WRNK Ø1x300mm K 1.5m</t>
  </si>
  <si>
    <t>Temperaturna Sonda - K (NiCr-Ni), Ø1x300mm, Mantle, Širmovan dvožični kabl 1.5m, &lt; 800°C</t>
  </si>
  <si>
    <t>WRN-321 Ø20x350mm K</t>
  </si>
  <si>
    <t>Temperaturna Sonda - K (NiCr-Ni), Ø20x350mm, IP65, &lt; 1100°C</t>
  </si>
  <si>
    <t>WRN-130 Ø20x700mm K</t>
  </si>
  <si>
    <t>Temperaturna Sonda - K (NiCr-Ni), Ø20x700mm, Priključna Glava, do 800°C</t>
  </si>
  <si>
    <t>WRN-321 Ø20x750mm K</t>
  </si>
  <si>
    <t>Temperaturna Sonda - K (NiCr-Ni), Ø20x750mm, IP65, &lt; 1100°C</t>
  </si>
  <si>
    <t>WRNK Ø2x100mm K 1.5m</t>
  </si>
  <si>
    <t>Temperaturna Sonda - K (NiCr-Ni), Ø2x100mm, Mantle, Širmovan dvožični kabl 1.5m, &lt; 800°C</t>
  </si>
  <si>
    <t>WRNK Ø2x200mm K 1.5m</t>
  </si>
  <si>
    <t>Temperaturna Sonda - K (NiCr-Ni), Ø2x200mm, Mantle, Širmovan dvožični kabl 1.5m, &lt; 800°C</t>
  </si>
  <si>
    <t>WRNK Ø3x100mm K 1.5m</t>
  </si>
  <si>
    <t>Temperaturna Sonda - K (NiCr-Ni), Ø3x100mm, Mantle, Širmovan dvožični kabl 1.5m, &lt; 800°C</t>
  </si>
  <si>
    <t>WRNK Ø3x200mm K 1.5m</t>
  </si>
  <si>
    <t>Temperaturna Sonda - K (NiCr-Ni), Ø3x200mm, Mantle, Širmovan dvožični kabl 1.5m, &lt; 800°C</t>
  </si>
  <si>
    <t>WRNK Ø3x50mm K 1.5m</t>
  </si>
  <si>
    <t>Temperaturna Sonda - K (NiCr-Ni), Ø3x50mm, Mantle, Širmovan dvožični kabl 1.5m, &lt; 800°C</t>
  </si>
  <si>
    <t>WRNK Ø4x100mm K 1.5m</t>
  </si>
  <si>
    <t>Temperaturna Sonda - K (NiCr-Ni), Ø4x100mm, Mantle, Širmovan dvožični kabl 1.5m, &lt; 800°C</t>
  </si>
  <si>
    <t>WRNK Ø4x200mm K 1.5m</t>
  </si>
  <si>
    <t>Temperaturna Sonda - K (NiCr-Ni), Ø4x200mm, Mantle, Širmovan dvožični kabl 1.5m, &lt; 800°C</t>
  </si>
  <si>
    <t>WRKX-31 Ø5x10mm M8 K 2m</t>
  </si>
  <si>
    <t>Temperaturna Sonda - K (NiCr-Ni), Ø5x10mm, M8, Širmovan dvožični kabl 2m, do 400°C</t>
  </si>
  <si>
    <t>WRKX-31 Ø5x10mm M8 K 3m</t>
  </si>
  <si>
    <t>Temperaturna Sonda - K (NiCr-Ni), Ø5x10mm, M8, Širmovan dvožični kabl 3m, do 400°C</t>
  </si>
  <si>
    <t>WZPX-505 Ø5x30mm K 3m</t>
  </si>
  <si>
    <t>Temperaturna Sonda - K (NiCr-Ni), Ø5x30mm, Širmovan trožični kabl 3m, do 400°C</t>
  </si>
  <si>
    <t>WZPX-505 Ø5x30mm K 5m</t>
  </si>
  <si>
    <t>Temperaturna Sonda - K (NiCr-Ni), Ø5x30mm, Širmovan trožični kabl 5m, do 400°C</t>
  </si>
  <si>
    <t>WRKX-21 Ø5x40mm M12 K 3m</t>
  </si>
  <si>
    <t>Temperaturna Sonda - K (NiCr-Ni), Ø5x40mm, M12, Širmovan dvožični kabl 3m, do 400°C</t>
  </si>
  <si>
    <t>WRKX-21 Ø5x40mm M8 K 3m</t>
  </si>
  <si>
    <t>Temperaturna Sonda - K (NiCr-Ni), Ø5x40mm, M8, Širmovan dvožični kabl 3m, do 400°C</t>
  </si>
  <si>
    <t>DSKCF Ø5x50mm K 2m</t>
  </si>
  <si>
    <t>Temperaturna Sonda - K (NiCr-Ni), Ø5x50mm, Fleksibilna, Širmovan dvožični kabl 2m, &lt; 500°C</t>
  </si>
  <si>
    <t>DSKCF Ø6x100mm K 2m</t>
  </si>
  <si>
    <t>Temperaturna Sonda - K (NiCr-Ni), Ø6x100mm, Fleksibilna, Širmovan dvožični kabl 2m, &lt; 600°C</t>
  </si>
  <si>
    <t>DSKCF Ø6x200mm K 2m</t>
  </si>
  <si>
    <t>Temperaturna Sonda - K (NiCr-Ni), Ø6x200mm, Fleksibilna, Širmovan dvožični kabl 2m, &lt; 600°C</t>
  </si>
  <si>
    <t>DSKCF Ø6x50mm K 2m</t>
  </si>
  <si>
    <t>Temperaturna Sonda - K (NiCr-Ni), Ø6x50mm, Fleksibilna, Širmovan dvožični kabl 2m, &lt; 600°C</t>
  </si>
  <si>
    <t>DSKC Ø8x200mm K 2m</t>
  </si>
  <si>
    <t>Temperaturna Sonda - K (NiCr-Ni), Ø8x200mm, Širmovan dvožični kabl 2m, &lt; 700°C</t>
  </si>
  <si>
    <t>DSKK Ø8x300mm K</t>
  </si>
  <si>
    <t>Temperaturna Sonda - K (NiCr-Ni), Ø8x300mm, Keramička, &lt; 1200°C</t>
  </si>
  <si>
    <t>DSKC Ø8x80mm K 10m</t>
  </si>
  <si>
    <t>Temperaturna Sonda - K (NiCr-Ni), Ø8x80mm, Širmovan dvožični kabl 10m, &lt; 700°C</t>
  </si>
  <si>
    <t>DSKC Ø8x80mm K 2m</t>
  </si>
  <si>
    <t>Temperaturna Sonda - K (NiCr-Ni), Ø8x80mm, Širmovan dvožični kabl 2m, &lt; 700°C</t>
  </si>
  <si>
    <t>DSKC Ø8x80mm K 5m</t>
  </si>
  <si>
    <t>Temperaturna Sonda - K (NiCr-Ni), Ø8x80mm, Širmovan dvožični kabl 5m, &lt; 700°C</t>
  </si>
  <si>
    <t>WRN-122 Ø16x1000/150mm K</t>
  </si>
  <si>
    <t>Temperaturna Sonda - K, Ø16x1000mm / Ø22x150mm, Priključna Glava, do 1300°C</t>
  </si>
  <si>
    <t>WRN-122 Ø16x150/50mm K</t>
  </si>
  <si>
    <t>Temperaturna Sonda - K, Ø16x150mm / Ø22x50mm, Priključna Glava, do 1300°C</t>
  </si>
  <si>
    <t>WRN-122 Ø16x300/50mm K</t>
  </si>
  <si>
    <t>Temperaturna Sonda - K, Ø16x300mm / Ø22x50mm, Priključna Glava, do 1300°C</t>
  </si>
  <si>
    <t>WRN-122 Ø16x600/50mm K</t>
  </si>
  <si>
    <t>Temperaturna Sonda - K, Ø16x600mm / Ø22x50mm, Priključna Glava, do 1300°C</t>
  </si>
  <si>
    <t>WRN-122 Ø16x750/150mm K</t>
  </si>
  <si>
    <t>Temperaturna Sonda - K, Ø16x750mm / Ø22x150mm, Priključna Glava, do 1300°C</t>
  </si>
  <si>
    <t>WRPX-12 Ø7x300mm K 1.5m</t>
  </si>
  <si>
    <t>Temperaturna Sonda - K, Ø7x300mm, Dvožični kabl 1.5m, do 400°C</t>
  </si>
  <si>
    <t>WZP-201A Ø4x30mm PT100 2m</t>
  </si>
  <si>
    <t>Temperaturna Sonda - Klasa A, PT100, Ø4x30mm, Teflon trožični kabl 2m, -50°C – 450°C</t>
  </si>
  <si>
    <t>WZP-201B Ø4x30mm PT100 2m</t>
  </si>
  <si>
    <t>Temperaturna Sonda - Klasa B, PT100, Ø4x30mm, Teflon trožični kabl 2m, -50°C – 450°C</t>
  </si>
  <si>
    <t>WZP-201B Ø6x60mm PT100 2m</t>
  </si>
  <si>
    <t>Temperaturna Sonda - Klasa B, PT100, Ø6x60mm, Silikonski trožični kabl 2m, -50°C – 450°C</t>
  </si>
  <si>
    <t>WZP-230 Ø16x1150/1000mm PT100</t>
  </si>
  <si>
    <t>Temperaturna Sonda - PT100, Ø16x1150/1000mm, M27x2, IP65, -200°C – 450°C</t>
  </si>
  <si>
    <t>WZP-230 Ø16x150/100mm PT100</t>
  </si>
  <si>
    <t>Temperaturna Sonda - PT100, Ø16x150/100mm, M27x2, IP65, -200°C – 450°C</t>
  </si>
  <si>
    <t>WZP-230 Ø16x250/200mm PT100</t>
  </si>
  <si>
    <t>Temperaturna Sonda - PT100, Ø16x250/200mm, M27x2, IP65, -200°C – 450°C</t>
  </si>
  <si>
    <t>WZP-230 Ø16x300/150mm PT100</t>
  </si>
  <si>
    <t>Temperaturna Sonda - PT100, Ø16x300/150mm, M27x2, IP65, -200°C – 450°C</t>
  </si>
  <si>
    <t>WZP-230 Ø16x350/200mm PT100</t>
  </si>
  <si>
    <t>Temperaturna Sonda - PT100, Ø16x350/200mm, M27x2, IP65, -200°C – 450°C</t>
  </si>
  <si>
    <t>WZP-230 Ø16x350/300mm PT100</t>
  </si>
  <si>
    <t>Temperaturna Sonda - PT100, Ø16x350/300mm, M27x2, IP65, -200°C – 450°C</t>
  </si>
  <si>
    <t>WZP-230 Ø16x450/300mm PT100</t>
  </si>
  <si>
    <t>Temperaturna Sonda - PT100, Ø16x450/300mm, M27x2, IP65, -200°C – 450°C</t>
  </si>
  <si>
    <t>WZP-230 Ø16x650/500mm PT100</t>
  </si>
  <si>
    <t>Temperaturna Sonda - PT100, Ø16x650/500mm, M27x2, IP65, -200°C – 450°C</t>
  </si>
  <si>
    <t>WZP-230 Ø16x750/600mm PT100</t>
  </si>
  <si>
    <t>Temperaturna Sonda - PT100, Ø16x750/600mm, M27x2, IP65, -200°C – 450°C</t>
  </si>
  <si>
    <t>WZP-230 Ø16x900/750mm PT100</t>
  </si>
  <si>
    <t>Temperaturna Sonda - PT100, Ø16x900/750mm, M27x2, IP65, -200°C – 450°C</t>
  </si>
  <si>
    <t>DSPU Ø4x120mm PT100 3m</t>
  </si>
  <si>
    <t>Temperaturna Sonda - PT100, Ø4x120mm, Ubodna za Prehrambenu Industriju, Tefloski trožični kabl 3m, -50°C – 250°C</t>
  </si>
  <si>
    <t>DSPU Ø4x120mm PT100 5m</t>
  </si>
  <si>
    <t>Temperaturna Sonda - PT100, Ø4x120mm, Ubodna za Prehrambenu Industriju, Tefloski trožični kabl 5m, -50°C – 250°C</t>
  </si>
  <si>
    <t>WZP Ø4x30mm PT100 0.5m</t>
  </si>
  <si>
    <t>Temperaturna Sonda - PT100, Ø4x30mm, Teflon dvožični kabl 0.5m, -50°C – 200°C</t>
  </si>
  <si>
    <t>WZP Ø4x30mm PT100 2m</t>
  </si>
  <si>
    <t>Temperaturna Sonda - PT100, Ø4x30mm, Teflon dvožični kabl 2m, -50°C – 200°C</t>
  </si>
  <si>
    <t>WZP-035 Ø4x30mm PT100 1m</t>
  </si>
  <si>
    <t>Temperaturna Sonda - PT100, Ø4x30mm, Teflon trožični kabl 1m, -50°C – 250°C</t>
  </si>
  <si>
    <t>WZPX-505 Ø4x50mm PT100 2m</t>
  </si>
  <si>
    <t>Temperaturna Sonda - PT100, Ø4x50mm, Širmovan trožični kabl 2m, do 250°C</t>
  </si>
  <si>
    <t>DSPCS Ø5x100mm PT100 2m</t>
  </si>
  <si>
    <t>Temperaturna Sonda - PT100, Ø5x100mm, Silikonski trožični kabl 2m, -50°C – 200°C</t>
  </si>
  <si>
    <t>WRPX-31 Ø5x10mm M6 PT100 2m</t>
  </si>
  <si>
    <t>Temperaturna Sonda - PT100, Ø5x10mm, M6, Širmovan dvožični kabl 2m, do 400°C</t>
  </si>
  <si>
    <t>WZP Ø5x10mm M6 PT100 2m</t>
  </si>
  <si>
    <t>Temperaturna Sonda - PT100, Ø5x10mm, M6, Širmovan trožični kabl 2m, do 250°C</t>
  </si>
  <si>
    <t>WRPX-31 Ø5x10mm M8 PT100 2m</t>
  </si>
  <si>
    <t>Temperaturna Sonda - PT100, Ø5x10mm, M8, Širmovan dvožični kabl 2m, do 400°C</t>
  </si>
  <si>
    <t>WZP Ø5x10mm M8 PT100 2m</t>
  </si>
  <si>
    <t>Temperaturna Sonda - PT100, Ø5x10mm, M8, Širmovan trožični kabl 2m, do 250°C</t>
  </si>
  <si>
    <t>DSPCS Ø5x200mm PT100 2m</t>
  </si>
  <si>
    <t>Temperaturna Sonda - PT100, Ø5x200mm, Silikonski trožični kabl 2m, -50°C – 200°C</t>
  </si>
  <si>
    <t>DSPCF Ø5x25mm PT100 2m</t>
  </si>
  <si>
    <t>Temperaturna Sonda - PT100, Ø5x25mm, Fleksibilna, Širmovan trožični kabl 2m, -50°C – 200°C</t>
  </si>
  <si>
    <t>DSPC Ø5x40L20mm PT100 2m</t>
  </si>
  <si>
    <t>Temperaturna Sonda - PT100, Ø5x40L20mm, 90° Savijena, Širmovan trožični kabl 2m, -50°C – 200°C</t>
  </si>
  <si>
    <t>WRPX-22 Ø5x40mm M12 PT100 2m</t>
  </si>
  <si>
    <t>Temperaturna Sonda - PT100, Ø5x40mm, M12, Širmovan trožični kabl 2m, do 250°C</t>
  </si>
  <si>
    <t>WRPX-22 Ø5x40mm M8 PT100 2m</t>
  </si>
  <si>
    <t>Temperaturna Sonda - PT100, Ø5x40mm, M8, Širmovan trožični kabl 2m, do 250°C</t>
  </si>
  <si>
    <t>DSPCF Ø5x50mm PT100 10m</t>
  </si>
  <si>
    <t>Temperaturna Sonda - PT100, Ø5x50mm, Fleksibilna, Širmovan trožični kabl 10m, -50°C – 200°C</t>
  </si>
  <si>
    <t>DSPCF Ø5x50mm PT100 2m</t>
  </si>
  <si>
    <t>Temperaturna Sonda - PT100, Ø5x50mm, Fleksibilna, Širmovan trožični kabl 2m, -50°C – 200°C</t>
  </si>
  <si>
    <t>DSPCF Ø5x50mm PT100 5m</t>
  </si>
  <si>
    <t>Temperaturna Sonda - PT100, Ø5x50mm, Fleksibilna, Širmovan trožični kabl 5m, -50°C – 200°C</t>
  </si>
  <si>
    <t>DSPCS Ø5x50mm PT100 2m</t>
  </si>
  <si>
    <t>Temperaturna Sonda - PT100, Ø5x50mm, Silikonski trožični kabl 2m, -50°C – 200°C</t>
  </si>
  <si>
    <t>WZPX-505 Ø5x50mm PT100 2m</t>
  </si>
  <si>
    <t>Temperaturna Sonda - PT100, Ø5x50mm, Širmovan trožični kabl 2m, do 250°C</t>
  </si>
  <si>
    <t>WZPX-505 Ø5x50mm PT100 5m</t>
  </si>
  <si>
    <t>Temperaturna Sonda - PT100, Ø5x50mm, Širmovan trožični kabl 5m, do 250°C</t>
  </si>
  <si>
    <t>DSPCF Ø5x80mm PT100 1.5m</t>
  </si>
  <si>
    <t>Temperaturna Sonda - PT100, Ø5x80mm, Fleksibilna, Širmovan trožični kabl 1.5m, -50°C – 200°C</t>
  </si>
  <si>
    <t>WZP-270 Ø6x100mm M16 PT100</t>
  </si>
  <si>
    <t>Temperaturna Sonda - PT100, Ø6x100mm, M16x1.5, -50°C – 350°C</t>
  </si>
  <si>
    <t>DSPCS Ø6x100mm PT100 3m</t>
  </si>
  <si>
    <t>Temperaturna Sonda - PT100, Ø6x100mm, Silikonski trožični kabl 3m, -50°C – 200°C</t>
  </si>
  <si>
    <t>WRPS Ø6x10mm PT100 1m</t>
  </si>
  <si>
    <t>Temperaturna Sonda - PT100, Ø6x10mm, Sa Stopom, Teflon trožični kabl 1m, -50°C – 250°C</t>
  </si>
  <si>
    <t>WZP-270 Ø6x150mm M16 PT100</t>
  </si>
  <si>
    <t>Temperaturna Sonda - PT100, Ø6x150mm, M16x1.5, -50°C – 350°C</t>
  </si>
  <si>
    <t>WZP-270 Ø6x300mm M16 PT100</t>
  </si>
  <si>
    <t>Temperaturna Sonda - PT100, Ø6x300mm, M16x1.5, -50°C – 350°C</t>
  </si>
  <si>
    <t>WZP-291 Ø6x50mm M12 PT100 1m</t>
  </si>
  <si>
    <t>Temperaturna Sonda - PT100, Ø6x50mm, M12x1, Teflon trožični kabl 1m, -50°C – 350°C</t>
  </si>
  <si>
    <t>WZP-270 Ø6x50mm M16 PT100</t>
  </si>
  <si>
    <t>Temperaturna Sonda - PT100, Ø6x50mm, M16x1.5, -50°C – 350°C</t>
  </si>
  <si>
    <t>WRPX-12 Ø7x100mm PT100 2m</t>
  </si>
  <si>
    <t>Temperaturna Sonda - PT100, Ø7x100mm, PVC trožični kabl 2m, do 300°C</t>
  </si>
  <si>
    <t>WRPX-12 Ø7x150mm PT100 2m</t>
  </si>
  <si>
    <t>Temperaturna Sonda - PT100, Ø7x150mm, PVC trožični kabl 2m, do 300°C</t>
  </si>
  <si>
    <t>WRPX-12 Ø7x200mm PT100 2m</t>
  </si>
  <si>
    <t>Temperaturna Sonda - PT100, Ø7x200mm, PVC trožični kabl 2m, do 300°C</t>
  </si>
  <si>
    <t>WRPX-12 Ø7x250mm PT100 2m</t>
  </si>
  <si>
    <t>Temperaturna Sonda - PT100, Ø7x250mm, PVC trožični kabl 2m, do 300°C</t>
  </si>
  <si>
    <t>WRPX-12 Ø7x300mm PT100 2m</t>
  </si>
  <si>
    <t>Temperaturna Sonda - PT100, Ø7x300mm, PVC trožični kabl 2m, do 300°C</t>
  </si>
  <si>
    <t>WRPX-12 Ø7x400mm PT100 2m</t>
  </si>
  <si>
    <t>Temperaturna Sonda - PT100, Ø7x400mm, PVC trožični kabl 2m, do 300°C</t>
  </si>
  <si>
    <t>WRPX-12 Ø7x500mm PT100 2m</t>
  </si>
  <si>
    <t>Temperaturna Sonda - PT100, Ø7x500mm, PVC trožični kabl 2m, do 300°C</t>
  </si>
  <si>
    <t>WRPX-12 Ø7x50mm PT100 2m</t>
  </si>
  <si>
    <t>Temperaturna Sonda - PT100, Ø7x50mm, PVC trožični kabl 2m, do 300°C</t>
  </si>
  <si>
    <t>DSPB Ø8x40mm G3/8 PT100 3.5m</t>
  </si>
  <si>
    <t>Temperaturna Sonda - PT100, Ø8x40mm, Bajonet, Širmovan trožični kabl 3.5m, &lt; 250°C</t>
  </si>
  <si>
    <t>DSPB Ø8x40mm G3/8 PT100 1.5m</t>
  </si>
  <si>
    <t>Temperaturna Sonda - PT100, Ø8x40mm, G3/8 Bajonet, Širmovan trožični kabl 1.5m, &lt; 250°C</t>
  </si>
  <si>
    <t>DSPB Ø8x40mm G3/8 PT100 2m</t>
  </si>
  <si>
    <t>Temperaturna Sonda - PT100, Ø8x40mm, G3/8 Bajonet, Širmovan trožični kabl 2m, &lt; 250°C</t>
  </si>
  <si>
    <t>DSPC Ø8x80mm PT100 2m</t>
  </si>
  <si>
    <t>Temperaturna Sonda - PT100, Ø8x80mm, Širmovan trožični kabl 2m, -50°C – 200°C</t>
  </si>
  <si>
    <t>WZP Ø4x30mm PT1000 0.5m</t>
  </si>
  <si>
    <t>Temperaturna Sonda - PT1000, Ø4x30mm, Teflon dvožični kabl 0.5m, -50°C – 200°C</t>
  </si>
  <si>
    <t>WZP Ø4x30mm PT1000 2m</t>
  </si>
  <si>
    <t>Temperaturna Sonda - PT1000, Ø4x30mm, Teflon trožični kabl 2m, -50°C – 250°C</t>
  </si>
  <si>
    <t>WRPS Ø6x10mm PT1000 1m</t>
  </si>
  <si>
    <t>Temperaturna Sonda - PT1000, Ø6x10mm, Sa Stopom, Teflon trožični kabl 1m, -50°C – 250°C</t>
  </si>
  <si>
    <t>WZP Ø3x25mm PT100 2 Žice 0.3m</t>
  </si>
  <si>
    <t>Temperaturna Sonda Visoke Preciznosti - PT100, Ø3x25mm, Neizolovan dvožični kabl 0.3m, do 250°C</t>
  </si>
  <si>
    <t>WZP Ø3x25mm PT100 3 Žice 0.3m</t>
  </si>
  <si>
    <t>Temperaturna Sonda Visoke Preciznosti - PT100, Ø3x25mm, Silikonski trožični kabl 0.3m, do 250°C</t>
  </si>
  <si>
    <t>Kompenzacioni Kabl J 2x1x0.4</t>
  </si>
  <si>
    <t>Kompenzacioni Kabl - Prodaja na metar, Širmovan kabl za J tip sonde, 2x1x0.4mm</t>
  </si>
  <si>
    <t>Kompenzacioni Kabl J 2x7x0.2</t>
  </si>
  <si>
    <t>Kompenzacioni Kabl - Prodaja na metar, Širmovan kabl za J tip sonde, 2x7x0.2mm</t>
  </si>
  <si>
    <t>Kompenzacioni Kabl K 2x1x0.4</t>
  </si>
  <si>
    <t>Kompenzacioni Kabl - Prodaja na metar, Širmovan kabl za K tip sonde, 2x1x0.4mm</t>
  </si>
  <si>
    <t>Kompenzacioni Kabl K 2x7x0.2</t>
  </si>
  <si>
    <t>Kompenzacioni Kabl - Prodaja na metar, Širmovan kabl za K tip sonde, 2x7x0.2mm</t>
  </si>
  <si>
    <t>Kompenzacioni Kabl PT100 3x7x0.15</t>
  </si>
  <si>
    <t>Kompenzacioni Kabl - Prodaja na metar, Širmovan kabl za PT100 tip sonde, 3x7x0.15mm</t>
  </si>
  <si>
    <t>Kompenzacioni Kabl - Prodaja na metar, Teflonski kabl za PT100 tip sonde, 3x7x0.15mm</t>
  </si>
  <si>
    <t>Konektor za K Tip Sonde</t>
  </si>
  <si>
    <t>Konektor - Par Konektora za K Tip Sonde</t>
  </si>
  <si>
    <t>FLA12</t>
  </si>
  <si>
    <t>Priključna Glava - Ø12, R 69mm</t>
  </si>
  <si>
    <t>FLA16</t>
  </si>
  <si>
    <t>Priključna Glava - Ø16, R 69mm</t>
  </si>
  <si>
    <t>FLA20</t>
  </si>
  <si>
    <t>Priključna Glava - Ø20, R 69mm</t>
  </si>
  <si>
    <t>MC70M12</t>
  </si>
  <si>
    <t>Priključna Glava - Ø70, M12x1.5</t>
  </si>
  <si>
    <t>TH70M16</t>
  </si>
  <si>
    <t>Priključna Glava - Ø70, M16x1.5</t>
  </si>
  <si>
    <t>MC70M16</t>
  </si>
  <si>
    <t>MC70M18</t>
  </si>
  <si>
    <t>Priključna Glava - Ø70, M18x1.5</t>
  </si>
  <si>
    <t>GDC-100</t>
  </si>
  <si>
    <t>Pekarski Kontroler - Dve zone, 16 programa, Ulaz K tip TC, Izlaz 6 x Rele, 85 – 265VAC</t>
  </si>
  <si>
    <t>XMTF-938P</t>
  </si>
  <si>
    <t>Programibilni Termoregulator - Ulaz TC/RTD, Izlaz 1 x Rele, 64 Segmenata, Alarm x 2, 220VAC</t>
  </si>
  <si>
    <t>XMTA-938P</t>
  </si>
  <si>
    <t>XMTG-938PK</t>
  </si>
  <si>
    <t>Programibilni Termoregulator - Ulaz TC/RTD, Izlaz 1 x Rele, 64 Segmenata, Alarm x 2, RS485, 220VAC</t>
  </si>
  <si>
    <t>XMTF-938PK</t>
  </si>
  <si>
    <t>XMTA-938PK</t>
  </si>
  <si>
    <t>XMTA-838P</t>
  </si>
  <si>
    <t>Programibilni Termoregulator - Ulaz TC/RTD/Analogni, Izlaz 1 x Rele, 30 Segmenata, Alarm x 2, 220VAC</t>
  </si>
  <si>
    <t>XMTG-838P</t>
  </si>
  <si>
    <t>XMTG-838PK</t>
  </si>
  <si>
    <t>Programibilni Termoregulator - Ulaz TC/RTD/Analogni, Izlaz 1 x Rele, 30 Segmenata, Alarm x 2, RS485, 220VAC</t>
  </si>
  <si>
    <t>XMTA-838PK</t>
  </si>
  <si>
    <t>MCP-5838-101-000</t>
  </si>
  <si>
    <t>Programibilni Termoregulator - Ulaz TC/RTD/Analogni, Izlaz 1 x Rele, Alarm x 1, 220VAC</t>
  </si>
  <si>
    <t>MCP-5738-101-000</t>
  </si>
  <si>
    <t>MCP-5438-102-000</t>
  </si>
  <si>
    <t>Programibilni Termoregulator - Ulaz TC/RTD/Analogni, Izlaz 1 x Rele, Alarm x 2, 220VAC</t>
  </si>
  <si>
    <t>MCP-5838-102-100</t>
  </si>
  <si>
    <t>Programibilni Termoregulator - Ulaz TC/RTD/Analogni, Izlaz 1 x Rele, Alarm x 2, 4 – 20mA Transmiter, 220VAC</t>
  </si>
  <si>
    <t>MCP-5838-102-002</t>
  </si>
  <si>
    <t>Programibilni Termoregulator - Ulaz TC/RTD/Analogni, Izlaz 1 x Rele, Alarm x 2, RS485, 220VAC</t>
  </si>
  <si>
    <t>MCP-5438-102-002</t>
  </si>
  <si>
    <t>MCP-5838-111-000</t>
  </si>
  <si>
    <t>Programibilni Termoregulator - Ulaz TC/RTD/Analogni, Izlaz 2 x Rele, Alarm x 1, 220VAC</t>
  </si>
  <si>
    <t>MCP-5438-111-000</t>
  </si>
  <si>
    <t>MCP-5738-111-000</t>
  </si>
  <si>
    <t>MCP-5838-111-002</t>
  </si>
  <si>
    <t>Programibilni Termoregulator - Ulaz TC/RTD/Analogni, Izlaz 2 x Rele, Alarm x 1, RS485, 220VAC</t>
  </si>
  <si>
    <t>MCP-5438-311-000</t>
  </si>
  <si>
    <t>Programibilni Termoregulator - Ulaz TC/RTD/Analogni, Izlaz(1) 4 – 20mA, Izlaz(2) 1 x Rele, Alarm x 1, 220VAC</t>
  </si>
  <si>
    <t>MCP-5838-311-000</t>
  </si>
  <si>
    <t>NP100</t>
  </si>
  <si>
    <t>Programibilni Termoregulator - Ulaz TC/RTD/Naponski, Izlaz Rele, SSR, Strujni, 20 Segmenata, 220VAC</t>
  </si>
  <si>
    <t>MCP-5438-101-0B0</t>
  </si>
  <si>
    <t>Programibilni Termoregulator - Ulaz(1) TC/RTD/Analogni, Ulaz(2) 0 – 10V, Izlaz 1 x Rele, Alarm 1, 220VAC</t>
  </si>
  <si>
    <t>MCP-5438-101-010</t>
  </si>
  <si>
    <t>Programibilni Termoregulator - Ulaz(1) TC/RTD/Analogni, Ulaz(2) 4 – 20mA, Izlaz 1 x Rele, Alarm 1, 220VAC</t>
  </si>
  <si>
    <t>TX3-RD2A</t>
  </si>
  <si>
    <t>Rashladni Regulator - Ulaz 2 x NTC 10K, Izlaz 2 x Rele (Hlađenje i Odmrzavanje), 220VAC</t>
  </si>
  <si>
    <t>TX3-E24</t>
  </si>
  <si>
    <t>Rashladni Regulator Ekonomske Klase - Ulaz 1 ili 2 NTC, Izlaz 3 x Rele (Kompresor, Odmrzavanje i Ventilator), 220VAC</t>
  </si>
  <si>
    <t>TX3-H25</t>
  </si>
  <si>
    <t>Rashladni Regulator Visokih Performansi - Ulaz 1 ili 2 NTC, Izlaz 3 x Rele (Kompresor, Odmrzavanje i Ventilator), 220VAC</t>
  </si>
  <si>
    <t>TX3-S22</t>
  </si>
  <si>
    <t>Regulator Temperature i Vlage - Ulaz Senzor Vlage i NTC, Izlaz 2 x Rele (Kompresor, Vlaženje), 220VAC</t>
  </si>
  <si>
    <t>XMTD-JK208</t>
  </si>
  <si>
    <t>Termoregulator - Ulaz 2 x TC/RTD, Izlaz 2 x Rele, Alarm x 2, 220VAC</t>
  </si>
  <si>
    <t>XMTA-JK208</t>
  </si>
  <si>
    <t>XMTA-JK408</t>
  </si>
  <si>
    <t>Termoregulator - Ulaz 4 x TC/RTD, Izlaz 4 x Rele, 220VAC</t>
  </si>
  <si>
    <t>XMTA-JK408K</t>
  </si>
  <si>
    <t>Termoregulator - Ulaz 4 x TC/RTD, Izlaz 4 x Rele, RS485, 220VAC</t>
  </si>
  <si>
    <t>DHC1W-PT 0 – 100°C</t>
  </si>
  <si>
    <t>Termoregulator - Ulaz PT-100, 0 – 100°C, Izlaz 1 x Rele, 220VAC</t>
  </si>
  <si>
    <t>DHC1W-PT 0 – 399°C</t>
  </si>
  <si>
    <t>Termoregulator - Ulaz PT-100, 0 – 399°C, Izlaz 1 x Rele, 220VAC</t>
  </si>
  <si>
    <t>E5CWL-R1P</t>
  </si>
  <si>
    <t>Termoregulator - Ulaz PT-100, Kontrolni izlaz 1 x Rele, 1 x Alarm, 110-240VAC</t>
  </si>
  <si>
    <t>E5CSL-RP</t>
  </si>
  <si>
    <t>Termoregulator - Ulaz PT100, Kontrolni izlaz 1 x Rele, 100-240VAC</t>
  </si>
  <si>
    <t>E5EC-RR2ASM-800</t>
  </si>
  <si>
    <t>Termoregulator - Ulaz TC / PT100 / Analogni, Kontrolni izlaz 2 x Rele, Alarm x 2, 100-240VAC</t>
  </si>
  <si>
    <t>E5CC-RX2ASM-880</t>
  </si>
  <si>
    <t>Termoregulator - Ulaz TC / RTD / Strujni i Naponski, Kontrolni izlaz 1 x Rele, Pomoćni izlazi 2 x Rele, 110-240VAC</t>
  </si>
  <si>
    <t>REX-C900</t>
  </si>
  <si>
    <t>Termoregulator - Ulaz TC i RTD (0 – 400°C), Izlaz 1 x Rele, Alarm x 1, 220VAC</t>
  </si>
  <si>
    <t>REX-C400</t>
  </si>
  <si>
    <t>E5C2-J</t>
  </si>
  <si>
    <t>Termoregulator - Ulaz TC J tipa, Izlaz 1 x Rele, 220VAC</t>
  </si>
  <si>
    <t>DHC1W-J 0 – 399°C</t>
  </si>
  <si>
    <t>Termoregulator - Ulaz TC J, 0 – 399°C, Izlaz 1 x Rele, 220VAC</t>
  </si>
  <si>
    <t>REX-C100</t>
  </si>
  <si>
    <t>Termoregulator - Ulaz TC K (0 – 400°C), Izlaz 1 x Rele, Alarm x 1, 220VAC</t>
  </si>
  <si>
    <t>E5CWL-R1TC</t>
  </si>
  <si>
    <t>Termoregulator - Ulaz TC, Kontrolni izlaz 1 x Rele, 1 x Alarm, 110-240VAC</t>
  </si>
  <si>
    <t>E5CSL-RTC</t>
  </si>
  <si>
    <t>Termoregulator - Ulaz TC, Kontrolni izlaz 1 x Rele, 100-240VAC</t>
  </si>
  <si>
    <t>E5CSL-QTC</t>
  </si>
  <si>
    <t>Termoregulator - Ulaz TC, Kontrolni izlaz 12VDC (21mA) za upravljanje SSR-om, 110-240VAC</t>
  </si>
  <si>
    <t>XMTG-938B</t>
  </si>
  <si>
    <t>Termoregulator - Ulaz TC/RTD, Izlaz 1 Fazna Regulacija, Alarm x 2, 220VAC</t>
  </si>
  <si>
    <t>XMTG-938CK</t>
  </si>
  <si>
    <t>Termoregulator - Ulaz TC/RTD, Izlaz 1 Fazna Regulacija, Alarm x 2, RS485, 220VAC</t>
  </si>
  <si>
    <t>XMTF-918B</t>
  </si>
  <si>
    <t>Termoregulator - Ulaz TC/RTD, Izlaz 1 x Fazna Regulacija, Alarm x 1, 220VAC</t>
  </si>
  <si>
    <t>XMTF-938B</t>
  </si>
  <si>
    <t>Termoregulator - Ulaz TC/RTD, Izlaz 1 x Fazna Regulacija, Alarm x 2, 220VAC</t>
  </si>
  <si>
    <t>FC-318 12VDC</t>
  </si>
  <si>
    <t>Termoregulator - Ulaz TC/RTD, Izlaz 1 x Rele, Alarm x 1, 12VDC</t>
  </si>
  <si>
    <t>XMTD-618</t>
  </si>
  <si>
    <t>Termoregulator - Ulaz TC/RTD, Izlaz 1 x Rele, Alarm x 1, 220VAC</t>
  </si>
  <si>
    <t>XMTA-618</t>
  </si>
  <si>
    <t>AI508-4-RB10</t>
  </si>
  <si>
    <t>FC-318 220VAC</t>
  </si>
  <si>
    <t>XMTG-318</t>
  </si>
  <si>
    <t>XMTG-618</t>
  </si>
  <si>
    <t>XMTF-318</t>
  </si>
  <si>
    <t>XMTE-618</t>
  </si>
  <si>
    <t>XMTL-308</t>
  </si>
  <si>
    <t>XMTF-618</t>
  </si>
  <si>
    <t>XMTK-318</t>
  </si>
  <si>
    <t>TR6-R3</t>
  </si>
  <si>
    <t>XMTK-318 24V</t>
  </si>
  <si>
    <t>Termoregulator - Ulaz TC/RTD, Izlaz 1 x Rele, Alarm x 1, 24V AC/DC</t>
  </si>
  <si>
    <t>XMTL-308 24V</t>
  </si>
  <si>
    <t>XMT-918K</t>
  </si>
  <si>
    <t>Termoregulator - Ulaz TC/RTD, Izlaz 1 x Rele, Alarm x 1, RS485, 220VAC</t>
  </si>
  <si>
    <t>XMT-818K</t>
  </si>
  <si>
    <t>XMTA-838</t>
  </si>
  <si>
    <t>Termoregulator - Ulaz TC/RTD, Izlaz 1 x Rele, Alarm x 2, 220VAC</t>
  </si>
  <si>
    <t>AI508-8-RC10</t>
  </si>
  <si>
    <t>XMTD-938</t>
  </si>
  <si>
    <t>TP7-RC10</t>
  </si>
  <si>
    <t>XMTG-838</t>
  </si>
  <si>
    <t>TR9-R3</t>
  </si>
  <si>
    <t>XMTE-838</t>
  </si>
  <si>
    <t>XMTE-938</t>
  </si>
  <si>
    <t>TP8-RC10</t>
  </si>
  <si>
    <t>AI508-9-RC10</t>
  </si>
  <si>
    <t>XMTF-838</t>
  </si>
  <si>
    <t>XMTF-938</t>
  </si>
  <si>
    <t>XMTG-938</t>
  </si>
  <si>
    <t>TP9-RC10</t>
  </si>
  <si>
    <t>AI508-7-RC10</t>
  </si>
  <si>
    <t>AI518-4-RC10</t>
  </si>
  <si>
    <t>XMTA-938</t>
  </si>
  <si>
    <t>XMTF-938 24V</t>
  </si>
  <si>
    <t>Termoregulator - Ulaz TC/RTD, Izlaz 1 x Rele, Alarm x 2, 24VDC/AC</t>
  </si>
  <si>
    <t>XMTG-938 24V</t>
  </si>
  <si>
    <t>XMTG-838 24V</t>
  </si>
  <si>
    <t>XMTG-938K</t>
  </si>
  <si>
    <t>Termoregulator - Ulaz TC/RTD, Izlaz 1 x Rele, Alarm x 2, RS485, 220VAC</t>
  </si>
  <si>
    <t>AI508-8-RC18</t>
  </si>
  <si>
    <t>XMTF-938K</t>
  </si>
  <si>
    <t>XMTF-838K</t>
  </si>
  <si>
    <t>XMTG-838K</t>
  </si>
  <si>
    <t>XMTG-618 SSR</t>
  </si>
  <si>
    <t>Termoregulator - Ulaz TC/RTD, Izlaz 1 x SSR, Alarm x 1, 220VAC</t>
  </si>
  <si>
    <t>XMTA-938 SSR</t>
  </si>
  <si>
    <t>Termoregulator - Ulaz TC/RTD, Izlaz 1 x SSR, Alarm x 2, 220VAC</t>
  </si>
  <si>
    <t>XMTF-938 SSR</t>
  </si>
  <si>
    <t>XMTG-938 SSR</t>
  </si>
  <si>
    <t>HX7-01</t>
  </si>
  <si>
    <t>Termoregulator - Ulaz TC/RTD, Izlaz 2 x SSR / SCR (4-20mA), 1 x Rele 1A, 2 x Alarm 1A, RS485, 3 x SV, 220VAC</t>
  </si>
  <si>
    <t>HX9-01</t>
  </si>
  <si>
    <t>XMT-818B3</t>
  </si>
  <si>
    <t>Termoregulator - Ulaz TC/RTD, Izlaz 3 x Fazna Regulacija, Alarm x 1, 220VAC</t>
  </si>
  <si>
    <t>AX4-4A</t>
  </si>
  <si>
    <t>Termoregulator - Ulaz TC/RTD, Izlaz 4 – 20mA / 2 x Rele, Alarm 1-2, 220VAC</t>
  </si>
  <si>
    <t>AX3-4A</t>
  </si>
  <si>
    <t>AI508-4-DB10</t>
  </si>
  <si>
    <t>Termoregulator - Ulaz TC/RTD, Izlaz 4 – 20mA, Alarm x 1, 220VAC</t>
  </si>
  <si>
    <t>TR9-C3</t>
  </si>
  <si>
    <t>Termoregulator - Ulaz TC/RTD, Izlaz 4 – 20mA, Alarm x 2, 220VAC</t>
  </si>
  <si>
    <t>XMTG-838C</t>
  </si>
  <si>
    <t>AI508-8-DC10</t>
  </si>
  <si>
    <t>XMTG-838CK</t>
  </si>
  <si>
    <t>Termoregulator - Ulaz TC/RTD, Izlaz 4 – 20mA, Alarm x 2, RS485, 220VAC</t>
  </si>
  <si>
    <t>AX9-4A</t>
  </si>
  <si>
    <t>Termoregulator - Ulaz TC/RTD, Izlaz 4-20mA / 2 x Rele, Alarm 1-2, 220VAC</t>
  </si>
  <si>
    <t>AX4-1A</t>
  </si>
  <si>
    <t>Termoregulator - Ulaz TC/RTD, Izlaz SSR / 2 x Rele, Alarm 1-2, 220VAC</t>
  </si>
  <si>
    <t>AX2-1A</t>
  </si>
  <si>
    <t>AX3-1A</t>
  </si>
  <si>
    <t>AX9-1A</t>
  </si>
  <si>
    <t>AX7-1A</t>
  </si>
  <si>
    <t>AX4-2A</t>
  </si>
  <si>
    <t>Termoregulator - Ulaz TC/RTD, Izlaz SSR / 3 x Rele, Alarm 1-3, 220VAC</t>
  </si>
  <si>
    <t>XMTG-918CA</t>
  </si>
  <si>
    <t>Termoregulator - Ulaz TC/RTD, Izlaz-1 Fazna Regulacija, Izlaz-2 4 – 20mA, Alarm x 1, 220VAC</t>
  </si>
  <si>
    <t>MC-5838-401-000</t>
  </si>
  <si>
    <t>Termoregulator - Ulaz TC/RTD/Analogni, Izlaz 1 x Rele za Motorni Ventil, Alarm x 1, 220VAC</t>
  </si>
  <si>
    <t>MC-5638-401-000</t>
  </si>
  <si>
    <t>MC-5738-101-000</t>
  </si>
  <si>
    <t>Termoregulator - Ulaz TC/RTD/Analogni, Izlaz 1 x Rele, Alarm x 1, 220VAC</t>
  </si>
  <si>
    <t>MC-5838-101-000</t>
  </si>
  <si>
    <t>MC-5438-102-000</t>
  </si>
  <si>
    <t>Termoregulator - Ulaz TC/RTD/Analogni, Izlaz 1 x Rele, Alarm x 2, 220VAC</t>
  </si>
  <si>
    <t>MC-5838-102-100</t>
  </si>
  <si>
    <t>Termoregulator - Ulaz TC/RTD/Analogni, Izlaz 1 x Rele, Alarm x 2, 4 – 20mA Transmiter, 220VAC</t>
  </si>
  <si>
    <t>MC-5838-102-002</t>
  </si>
  <si>
    <t>Termoregulator - Ulaz TC/RTD/Analogni, Izlaz 1 x Rele, Alarm x 2, RS485, 220VAC</t>
  </si>
  <si>
    <t>MC-5438-102-002</t>
  </si>
  <si>
    <t>MC-5438-111-000</t>
  </si>
  <si>
    <t>Termoregulator - Ulaz TC/RTD/Analogni, Izlaz 2 x Rele, Alarm x 1, 220VAC</t>
  </si>
  <si>
    <t>MC-5538-111-000</t>
  </si>
  <si>
    <t>MC-5638-111-000</t>
  </si>
  <si>
    <t>MC-5738-111-000</t>
  </si>
  <si>
    <t>MC-5838-111-000</t>
  </si>
  <si>
    <t>MC-5838-111-002</t>
  </si>
  <si>
    <t>Termoregulator - Ulaz TC/RTD/Analogni, Izlaz 2 x Rele, Alarm x 1, RS485, 220VAC</t>
  </si>
  <si>
    <t>MC-5438-401-000</t>
  </si>
  <si>
    <t>Termoregulator - Ulaz TC/RTD/Analogni, Izlaz(1) 1 x Rele za Motorni Ventil, Izlaz(2) 1 x Rele, Alarm x 1, 220VAC</t>
  </si>
  <si>
    <t>MC-5838-311-000</t>
  </si>
  <si>
    <t>Termoregulator - Ulaz TC/RTD/Analogni, Izlaz(1) 4 – 20mA, Izlaz(2) 1 x Rele, Alarm x 1, 220VAC</t>
  </si>
  <si>
    <t>MC-5438-311-000</t>
  </si>
  <si>
    <t>MC-5638-311-000</t>
  </si>
  <si>
    <t>MC-5838-311-002</t>
  </si>
  <si>
    <t>Termoregulator - Ulaz TC/RTD/Analogni, Izlaz(1) 4 – 20mA, Izlaz(2) 1 x Rele, Alarm x 1, RS485, 220VAC</t>
  </si>
  <si>
    <t>TE3-RB10W</t>
  </si>
  <si>
    <t>Termoregulator - Ulaz TC/RTD/mV/Rt, Izlaz 1 x Rele, Alarm x 1, 100 - 240V AC/DC</t>
  </si>
  <si>
    <t>TE4-RB10W</t>
  </si>
  <si>
    <t>TE8-RC10W</t>
  </si>
  <si>
    <t>Termoregulator - Ulaz TC/RTD/mV/Rt, Izlaz 1 x Rele, Alarm x 2, 100 - 240V AC/DC</t>
  </si>
  <si>
    <t>TE6-RC10W</t>
  </si>
  <si>
    <t>TE7-RC10W</t>
  </si>
  <si>
    <t>TE9-RC18W</t>
  </si>
  <si>
    <t>Termoregulator - Ulaz TC/RTD/mV/Rt, Izlaz 1 x Rele, Alarm x 2, RS485, 100 - 240V AC/DC</t>
  </si>
  <si>
    <t>TE4-DC10W</t>
  </si>
  <si>
    <t>Termoregulator - Ulaz TC/RTD/mV/Rt, Izlaz 4 – 20mA, Alarm x 2, 100 - 240V AC/DC</t>
  </si>
  <si>
    <t>TE8-DC18W</t>
  </si>
  <si>
    <t>Termoregulator - Ulaz TC/RTD/mV/Rt, Izlaz 4 – 20mA, Alarm x 2, RS485, 100 - 240V AC/DC</t>
  </si>
  <si>
    <t>TE9-DC18W</t>
  </si>
  <si>
    <t>NX4-00</t>
  </si>
  <si>
    <t>Termoregulator - Ulaz TC/RTD/Naponski, Izlaz 2 x Rele, 220VAC</t>
  </si>
  <si>
    <t>CP3-00</t>
  </si>
  <si>
    <t>NX4-01</t>
  </si>
  <si>
    <t>Termoregulator - Ulaz TC/RTD/Naponski, Izlaz SSR + 2 x Rele, Alarm x 1, 220VAC</t>
  </si>
  <si>
    <t>NX3-01</t>
  </si>
  <si>
    <t>MC-5838-402-0B0</t>
  </si>
  <si>
    <t>Termoregulator - Ulaz(1) TC/RTD/Analogni, Ulaz(2) 0 – 10V, Izlaz 1 x Rele za Motorni Ventil, Alarm x 2, 220VAC</t>
  </si>
  <si>
    <t>MC-5438-101-0B0</t>
  </si>
  <si>
    <t>Termoregulator - Ulaz(1) TC/RTD/Analogni, Ulaz(2) 0 – 10V, Izlaz 1 x Rele, Alarm 1, 220VAC</t>
  </si>
  <si>
    <t>MC-5838-402-010</t>
  </si>
  <si>
    <t>Termoregulator - Ulaz(1) TC/RTD/Analogni, Ulaz(2) 4 – 20mA, Izlaz 1 x Rele za Motorni Ventil, Alarm x 2, 220VAC</t>
  </si>
  <si>
    <t>MC-5438-101-010</t>
  </si>
  <si>
    <t>Termoregulator - Ulaz(1) TC/RTD/Analogni, Ulaz(2) 4 – 20mA, Izlaz 1 x Rele, Alarm 1, 220VAC</t>
  </si>
  <si>
    <t>RT9</t>
  </si>
  <si>
    <t>Termoregulator Rekorder - Ulaz TC/RTD/Naponski, Izlaz 1 x Rele, Alarm x 2, RS485, Termalni Štampač, 220VAC</t>
  </si>
  <si>
    <t>XMTG-618T</t>
  </si>
  <si>
    <t>Termoregulator sa tajmerom - Ulaz TC/RTD, Izlaz 1 x Rele, Alarm x 1, 220VAC</t>
  </si>
  <si>
    <t>XMTG-938T</t>
  </si>
  <si>
    <t>Termoregulator sa tajmerom - Ulaz TC/RTD, Izlaz 1 x Rele, Alarm x 2, 220VAC</t>
  </si>
  <si>
    <t>XMTF-938T</t>
  </si>
  <si>
    <t>XMTA-938T</t>
  </si>
  <si>
    <t>KSD-9700 100C</t>
  </si>
  <si>
    <t>Bimetalni Termostat - 100°C, NC, 5A 250VAC, 8A 120VAC</t>
  </si>
  <si>
    <t>KSD-9700 125C</t>
  </si>
  <si>
    <t>Bimetalni Termostat - 125°C, NC, 5A 250VAC, 8A 120VAC</t>
  </si>
  <si>
    <t>KSD-9700 65C</t>
  </si>
  <si>
    <t>Bimetalni Termostat - 65°C, NC, 5A 250VAC, 8A 120VAC</t>
  </si>
  <si>
    <t>KSD-9700 75C</t>
  </si>
  <si>
    <t>Bimetalni Termostat - 75°C, NC, 5A 250VAC, 8A 120VAC</t>
  </si>
  <si>
    <t>ZRO011</t>
  </si>
  <si>
    <t>Mehanički Termostat - NC 10A/2A 250VAC, NO 5A/2A 250VAC</t>
  </si>
  <si>
    <t>KTO011</t>
  </si>
  <si>
    <t>Mehanički Termostat - NC, 10A/2A 250VAC</t>
  </si>
  <si>
    <t>KTS011</t>
  </si>
  <si>
    <t>Mehanički Termostat - NO, 10A/2A 250VAC</t>
  </si>
  <si>
    <t>J3-SCR-120LA</t>
  </si>
  <si>
    <t>Tiristorski Regulator Snage - 120A, 13kW, 3 x 380VAC</t>
  </si>
  <si>
    <t>SCR3-24KW-4</t>
  </si>
  <si>
    <t>Tiristorski Regulator Snage - 215A, 24kW, 3 x 380VAC</t>
  </si>
  <si>
    <t>HNSCR-250LA-ZQ</t>
  </si>
  <si>
    <t>Tiristorski Regulator Snage - 250A, 27kW, 3 x 380VAC</t>
  </si>
  <si>
    <t>J3-SCR-75LA</t>
  </si>
  <si>
    <t>Tiristorski Regulator Snage - 75A, 8.5kW, 3 x 380VAC</t>
  </si>
  <si>
    <t>EW6-200</t>
  </si>
  <si>
    <t>Točak za Enkoder - Obim 200mm, Prečnik Osovine Ø6mm</t>
  </si>
  <si>
    <t>OT-PT100 -50 – 150°C</t>
  </si>
  <si>
    <t>Okrugli Temperaturni Transmiter - PT100, Opseg -50 – 150°C, Izlaz 4 – 20mA, 24VDC</t>
  </si>
  <si>
    <t>OT-PT100 -50 – 50°C</t>
  </si>
  <si>
    <t>Okrugli Temperaturni Transmiter - PT100, Opseg -50 – 50°C, Izlaz 4 – 20mA, 24VDC</t>
  </si>
  <si>
    <t>OT-PT100 0 – 100°C</t>
  </si>
  <si>
    <t>Okrugli Temperaturni Transmiter - PT100, Opseg 0 – 100°C, Izlaz 4 – 20mA, 24VDC</t>
  </si>
  <si>
    <t>OT-PT100 0 – 150°C</t>
  </si>
  <si>
    <t>Okrugli Temperaturni Transmiter - PT100, Opseg 0 – 150°C, Izlaz 4 – 20mA, 24VDC</t>
  </si>
  <si>
    <t>OT-PT100 0 – 200°C</t>
  </si>
  <si>
    <t>Okrugli Temperaturni Transmiter - PT100, Opseg 0 – 200°C, Izlaz 4 – 20mA, 24VDC</t>
  </si>
  <si>
    <t>OT-PT100 0 – 250°C</t>
  </si>
  <si>
    <t>Okrugli Temperaturni Transmiter - PT100, Opseg 0 – 250°C, Izlaz 4 – 20mA, 24VDC</t>
  </si>
  <si>
    <t>OT-PT100 0 – 300°C</t>
  </si>
  <si>
    <t>Okrugli Temperaturni Transmiter - PT100, Opseg 0 – 300°C, Izlaz 4 – 20mA, 24VDC</t>
  </si>
  <si>
    <t>OT-PT100 0 – 400°C</t>
  </si>
  <si>
    <t>Okrugli Temperaturni Transmiter - PT100, Opseg 0 – 400°C, Izlaz 4 – 20mA, 24VDC</t>
  </si>
  <si>
    <t>OT-PT100 0 – 50°C</t>
  </si>
  <si>
    <t>Okrugli Temperaturni Transmiter - PT100, Opseg 0 – 50°C, Izlaz 4 – 20mA, 24VDC</t>
  </si>
  <si>
    <t>BSQ-001</t>
  </si>
  <si>
    <t>Pretvarač - Pojačivač i pretvarač za signale sa mernog mosta, Izlaz 0 – 10V, 24VDC</t>
  </si>
  <si>
    <t>TTR-02</t>
  </si>
  <si>
    <t>Temperaturni Transmiter - Ulaz PT100 / PT1000 / NI1000, Izlaz RS485 / 4~20mA / 2 x Rele 1A, 24 – 230V AC/DC</t>
  </si>
  <si>
    <t>AQZ-025 24VDC</t>
  </si>
  <si>
    <t>Temperaturni Transmiter - Ulaz TC / RTD / mA / V, Izlaz RS485 / 4~20mA, 24VDC</t>
  </si>
  <si>
    <t>AQZ-025 220VAC</t>
  </si>
  <si>
    <t>Temperaturni Transmiter - Ulaz TC / RTD / mA / V, Izlaz RS485 / 4~20mA, 85 – 242VAC</t>
  </si>
  <si>
    <t>PG7</t>
  </si>
  <si>
    <t>Uvodnica za Kabl - Za prečnik kabla 2 – 5mm, Navoj 12.5mm, IP68</t>
  </si>
  <si>
    <t>PG9</t>
  </si>
  <si>
    <t>Uvodnica za Kabl - Za prečnik kabla 2 – 6mm, Navoj 15.2mm, IP68</t>
  </si>
  <si>
    <t>PG36</t>
  </si>
  <si>
    <t>Uvodnica za Kabl - Za prečnik kabla 20 – 26mm, Navoj 47mm, IP68</t>
  </si>
  <si>
    <t>PG48</t>
  </si>
  <si>
    <t>Uvodnica za Kabl - Za prečnik kabla 29 – 35mm, Navoj 59mm, IP68</t>
  </si>
  <si>
    <t>PG11</t>
  </si>
  <si>
    <t>Uvodnica za Kabl - Za prečnik kabla 3 – 7mm, Navoj 18.6mm, IP68</t>
  </si>
  <si>
    <t>PG13.5</t>
  </si>
  <si>
    <t>Uvodnica za Kabl - Za prečnik kabla 5 – 9mm, Navoj 20.4mm, IP68</t>
  </si>
  <si>
    <t>PG16</t>
  </si>
  <si>
    <t>Uvodnica za Kabl - Za prečnik kabla 7 – 12mm, Navoj 22.5mm, IP68</t>
  </si>
  <si>
    <t>PG21</t>
  </si>
  <si>
    <t>Uvodnica za Kabl - Za prečnik kabla 9 – 16mm, Navoj 28.3mm, IP68</t>
  </si>
  <si>
    <t>FS-2T 1.2x1.2</t>
  </si>
  <si>
    <t>Podna Vaga - Nominalna Težina 2t, Platforma 1.2m x 1.2m, Sa indikatorom težine A12E</t>
  </si>
  <si>
    <t>FS-2T 1.2x1.5</t>
  </si>
  <si>
    <t>Podna Vaga - Nominalna Težina 2t, Platforma 1.2m x 1.5m, Sa indikatorom težine A12E</t>
  </si>
  <si>
    <t>FS-3T 1.5x1.5</t>
  </si>
  <si>
    <t>Podna Vaga - Nominalna Težina 3t, Platforma 1.5m x 1.5m, Sa indikatorom težine A12E</t>
  </si>
  <si>
    <t>YZC-320C 2t</t>
  </si>
  <si>
    <r>
      <rPr>
        <sz val="10"/>
        <rFont val="Arial"/>
        <family val="2"/>
      </rPr>
      <t>Davač Sile - 2t, Poluga Tip, 5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Klasa C3</t>
    </r>
  </si>
  <si>
    <t>YZC-320C 3t</t>
  </si>
  <si>
    <r>
      <rPr>
        <sz val="10"/>
        <rFont val="Arial"/>
        <family val="2"/>
      </rPr>
      <t>Davač Sile - 3t, Poluga Tip, 5</t>
    </r>
    <r>
      <rPr>
        <sz val="10"/>
        <rFont val="DejaVu Sans"/>
        <family val="2"/>
      </rPr>
      <t>～</t>
    </r>
    <r>
      <rPr>
        <sz val="10"/>
        <rFont val="Arial"/>
        <family val="2"/>
      </rPr>
      <t>12VDC, Klasa C3</t>
    </r>
  </si>
  <si>
    <t>YHL-3</t>
  </si>
  <si>
    <t>Displej - 6 cifara, RS232, 220V 50HZ</t>
  </si>
  <si>
    <t>A12E</t>
  </si>
  <si>
    <t>Indikator Težine - Za merne sisteme sa 1-4 davača sile, 220V 50HZ</t>
  </si>
  <si>
    <t>Stopa M16</t>
  </si>
  <si>
    <t>Stopa za Davač Sile - M16x1.75, 2.5t – 5t</t>
  </si>
  <si>
    <t>DS12038ABHL 230VAC</t>
  </si>
  <si>
    <t>Ventilator - 120mm, 230VAC, 2350 RPM</t>
  </si>
  <si>
    <t>DS12038B</t>
  </si>
  <si>
    <t>Ventilator - 120mm, 24VDC, 3000 RPM</t>
  </si>
  <si>
    <t>MEC0382V1-000U-A99</t>
  </si>
  <si>
    <t>Ventilator - 120mm, 24VDC, 3100 RPM</t>
  </si>
  <si>
    <t>DS12038ABHL 380VAC</t>
  </si>
  <si>
    <t>Ventilator - 120mm, 380VAC, 2600 RPM</t>
  </si>
  <si>
    <t>DS15051ABHL</t>
  </si>
  <si>
    <t>Ventilator - 150mm, 230VAC, 2550 RPM</t>
  </si>
  <si>
    <t>DS1552ABHL</t>
  </si>
  <si>
    <t>130FLJ1</t>
  </si>
  <si>
    <t>Ventilator - 182x175mm, 230VAC, 2200 RPM</t>
  </si>
  <si>
    <t>DS20060ABHL</t>
  </si>
  <si>
    <t>Ventilator - 200mm, 230VAC, 2500 RPM</t>
  </si>
  <si>
    <t>DS22580MAB</t>
  </si>
  <si>
    <t>Ventilator - 225mm, 230VAC, 2450 RPM</t>
  </si>
  <si>
    <t>DS28083ABHL</t>
  </si>
  <si>
    <t>Ventilator - 280mm, 230VAC, 2450 RPM</t>
  </si>
  <si>
    <t>YWF-4E-350-S</t>
  </si>
  <si>
    <t>Ventilator - 420mm, 230VAC, 2450 RPM, usisni</t>
  </si>
  <si>
    <t>YWF-4E-400-S</t>
  </si>
  <si>
    <t>Ventilator - 470mm, 230VAC, 1400 RPM, usisni</t>
  </si>
  <si>
    <t>YWF-4E-500-B</t>
  </si>
  <si>
    <t>Ventilator - 570mm, 230VAC, 1390 RPM, potisni</t>
  </si>
  <si>
    <t>YWF-4E-500-S</t>
  </si>
  <si>
    <t>Ventilator - 570mm, 230VAC, 1390 RPM, usisni</t>
  </si>
  <si>
    <t>YWF-4D-500-S</t>
  </si>
  <si>
    <t>Ventilator - 570mm, 380VAC, 1390 RPM, usisni</t>
  </si>
  <si>
    <t>MJ6025</t>
  </si>
  <si>
    <t>Ventilator - 60mm, 12VDC, 3800 RPM</t>
  </si>
  <si>
    <t>DS-6020</t>
  </si>
  <si>
    <t>Ventilator - 60mm, 24VDC, 3500 RPM</t>
  </si>
  <si>
    <t>DS-6025</t>
  </si>
  <si>
    <t>Ventilator - 60mm, 24VDC, 4500 RPM</t>
  </si>
  <si>
    <t>DS8025ABHL</t>
  </si>
  <si>
    <t>Ventilator - 80mm, 230VAC, 2150 RPM</t>
  </si>
  <si>
    <t>DS8038ABHL</t>
  </si>
  <si>
    <t>DS-8025B</t>
  </si>
  <si>
    <t>Ventilator - 80mm, 24VDC, 3500 RPM</t>
  </si>
  <si>
    <t>ZL-803</t>
  </si>
  <si>
    <t>Plastična Zaštitna Maska sa Filterom - Za ventilatore od 120mm</t>
  </si>
  <si>
    <t>ZL-256</t>
  </si>
  <si>
    <t>Plastična Zaštitna Maska sa Filterom - Za ventilatore od 250mm</t>
  </si>
  <si>
    <t>FK2200</t>
  </si>
  <si>
    <t>Plastična Zaštitna Mreža sa Filterom - Za ventilatore od 200mm</t>
  </si>
  <si>
    <t>FK2120</t>
  </si>
  <si>
    <t>Zaštitna Mreža sa Filterom - Za ventilatore od 120mm</t>
  </si>
  <si>
    <t>FG-12</t>
  </si>
  <si>
    <t>Zaštitna Mreža za Ventilator - Za ventilatore od 120mm</t>
  </si>
  <si>
    <t>FG-150</t>
  </si>
  <si>
    <t>Zaštitna Mreža za Ventilator - Za ventilatore od 150mm</t>
  </si>
  <si>
    <t>FG-200</t>
  </si>
  <si>
    <t>Zaštitna Mreža za Ventilator - Za ventilatore od 200mm</t>
  </si>
  <si>
    <t>FG-250</t>
  </si>
  <si>
    <t>Zaštitna Mreža za Ventilator - Za ventilatore od 250mm</t>
  </si>
  <si>
    <t>FG-08</t>
  </si>
  <si>
    <t>Zaštitna Mreža za Ventilator - Za ventilatore od 80mm</t>
  </si>
  <si>
    <t>FK2120-F</t>
  </si>
  <si>
    <t>Zaštitni Filter za Prašinu za FK2120 - Za ventilatore od 120mm</t>
  </si>
  <si>
    <t>FK2200-F</t>
  </si>
  <si>
    <t>Zaštitni Filter za Prašinu za FK2200 - Za ventilatore od 200mm</t>
  </si>
  <si>
    <t>ZL-256-F</t>
  </si>
  <si>
    <t>Zaštitni Filter za Prašinu za ZL-256 - Za ventilatore od 250mm</t>
  </si>
  <si>
    <t>SQD80-1.5L-24K ER11 220VAC</t>
  </si>
  <si>
    <t>VF Motor - ER11, 1.5kW, 24000 rpm, 400Hz, 220VAC, Vodeno Hlađenje</t>
  </si>
  <si>
    <t>TDK-1.5C-24K ER16 220VAC</t>
  </si>
  <si>
    <t>VF Motor - ER16, 1.5kW, 24000 rpm, 400Hz, 220VAC, Vodeno Hlađenje</t>
  </si>
  <si>
    <t>TDK80-2.2-24K ER16 220VAC</t>
  </si>
  <si>
    <t>VF Motor - ER16, 2.2kW, 24000 rpm, 400Hz, 220VAC, Vazdušno Hlađenje</t>
  </si>
  <si>
    <t>TDK80-2.2-24K ER20 220VAC</t>
  </si>
  <si>
    <t>VF Motor - ER20, 2.2kW, 24000 rpm, 400Hz, 220VAC, Vodeno Hlađenje</t>
  </si>
  <si>
    <t>SQD80-2.2T-24K ER20 220VAC</t>
  </si>
  <si>
    <t>VF Motor - ER20, 2.2kW, 24000 rpm, 400Hz, 220VAC, Vodeno Hlađenje, Keramički Ležajevi</t>
  </si>
  <si>
    <t>TDK80-2.2-24K ER20 380VAC</t>
  </si>
  <si>
    <t>VF Motor - ER20, 2.2kW, 24000 rpm, 400Hz, 380VAC, Vodeno Hlađenje</t>
  </si>
  <si>
    <t>GDZ-100-3.0 ER20 220VAC</t>
  </si>
  <si>
    <t>VF Motor - ER20, 3.0kW, 24000 rpm, 400Hz, 220VAC, Vodeno Hlađenje</t>
  </si>
  <si>
    <t>TDK100-3.2B-24K ER20 380VAC</t>
  </si>
  <si>
    <t>VF Motor - ER20, 3.2kW, 24000 rpm, 400Hz, 380VAC, Vodeno Hlađenje</t>
  </si>
  <si>
    <t>TDK93x82-3.5 ER25 380VAC</t>
  </si>
  <si>
    <t>VF Motor - ER25, 3.5kW, 18000 rpm, 300Hz, 380VAC, Vazdušno Hlađenje</t>
  </si>
  <si>
    <t>TDK120x103-4.5 ER32 380VAC</t>
  </si>
  <si>
    <t>VF Motor - ER32, 4.5kW, 18000 rpm, 300Hz, 380VAC, Vazdušno Hlađenje</t>
  </si>
  <si>
    <t>TDK120x103-6 ER32 380VAC</t>
  </si>
  <si>
    <t>VF Motor - ER32, 6.0kW, 18000 rpm, 300Hz, 380VAC, Vazdušno Hlađenje</t>
  </si>
  <si>
    <t>ER11A</t>
  </si>
  <si>
    <t>Kluč za Steznu Maticu - ER11A tip ključ</t>
  </si>
  <si>
    <t>ER16A</t>
  </si>
  <si>
    <t>Kluč za Steznu Maticu - ER16A tip ključ</t>
  </si>
  <si>
    <t>ER20A</t>
  </si>
  <si>
    <t>Kluč za Steznu Maticu - ER20A tip ključ</t>
  </si>
  <si>
    <t>ER25UM</t>
  </si>
  <si>
    <t>Kluč za Steznu Maticu - ER25UM tip ključ</t>
  </si>
  <si>
    <t>ER32UM</t>
  </si>
  <si>
    <t>Kluč za Steznu Maticu - ER32UM tip ključ</t>
  </si>
  <si>
    <t>H20-4P</t>
  </si>
  <si>
    <t>Konektor - 4 pina konektor</t>
  </si>
  <si>
    <t>SM-DC Φ100mm</t>
  </si>
  <si>
    <t>Kućište za Usisivač - Φ100mm Diametar</t>
  </si>
  <si>
    <t>SM-DC Φ65mm</t>
  </si>
  <si>
    <t>Kućište za Usisivač - Φ65mm Diametar</t>
  </si>
  <si>
    <t>SM-DC Φ80mm</t>
  </si>
  <si>
    <t>Kućište za Usisivač - Φ80mm Diametar</t>
  </si>
  <si>
    <t>CB100</t>
  </si>
  <si>
    <t>Nosač Motora - Diametar 100mm</t>
  </si>
  <si>
    <t>CB65</t>
  </si>
  <si>
    <t>Nosač Motora - Diametar 65mm</t>
  </si>
  <si>
    <t>CB65ADJ</t>
  </si>
  <si>
    <t>Nosač Motora - Diametar 65mm, Podesiv</t>
  </si>
  <si>
    <t>CB80</t>
  </si>
  <si>
    <t>Nosač Motora - Diametar 80mm</t>
  </si>
  <si>
    <t>CB80G</t>
  </si>
  <si>
    <t>CB80ADJ</t>
  </si>
  <si>
    <t>Nosač Motora - Diametar 80mm, Podesiv</t>
  </si>
  <si>
    <t>CB80ADJ-2P</t>
  </si>
  <si>
    <t>Nosač Motora - Diametar 80mm, Podesiv u Dve Tačke</t>
  </si>
  <si>
    <t>TD-5000</t>
  </si>
  <si>
    <t>Potapajuća Pumpa - 100W, 4m, 220VAC</t>
  </si>
  <si>
    <t>TD-703</t>
  </si>
  <si>
    <t>Potapajuća Pumpa - 75W, 3.5m, 220VAC</t>
  </si>
  <si>
    <t>SQD-3200</t>
  </si>
  <si>
    <t>Potapajuća Pumpa - 75W, 3m, 220VAC</t>
  </si>
  <si>
    <t>SP-4500</t>
  </si>
  <si>
    <t>Potapajuća Pumpa - 95W, 4.5m, 220VAC</t>
  </si>
  <si>
    <t>C16-ER11A-100L</t>
  </si>
  <si>
    <t>Produžetak Glave - ER11, Diametar 16mm, Dužina 100mm</t>
  </si>
  <si>
    <t>C16-ER11A-150L</t>
  </si>
  <si>
    <t>Produžetak Glave - ER11, Diametar 16mm, Dužina 150mm</t>
  </si>
  <si>
    <t>C20-ER11A-150L</t>
  </si>
  <si>
    <t>Produžetak Glave - ER11, Diametar 20mm, Dužina 150mm</t>
  </si>
  <si>
    <t>C20-ER20A-100L</t>
  </si>
  <si>
    <t>Produžetak Glave - ER20, Diametar 20mm, Dužina 100mm</t>
  </si>
  <si>
    <t>SM-SB 1m</t>
  </si>
  <si>
    <t>Rezervna Četka - Za kućišta usisivača, Prodaje se na metar</t>
  </si>
  <si>
    <t>ER16-10</t>
  </si>
  <si>
    <t>Stezna Čaura - ER16 10mm</t>
  </si>
  <si>
    <t>ER16-3.175</t>
  </si>
  <si>
    <t>Stezna Čaura - ER16 3.175mm</t>
  </si>
  <si>
    <t>ER16-6</t>
  </si>
  <si>
    <t>Stezna Čaura - ER16 6mm</t>
  </si>
  <si>
    <t>ER16-8</t>
  </si>
  <si>
    <t>Stezna Čaura - ER16 8mm</t>
  </si>
  <si>
    <t>ER20-10</t>
  </si>
  <si>
    <t>Stezna Čaura - ER20 10mm</t>
  </si>
  <si>
    <t>ER20-12</t>
  </si>
  <si>
    <t>Stezna Čaura - ER20 12mm</t>
  </si>
  <si>
    <t>ER20-3.175</t>
  </si>
  <si>
    <t>Stezna Čaura - ER20 3.175mm</t>
  </si>
  <si>
    <t>ER20-4</t>
  </si>
  <si>
    <t>Stezna Čaura - ER20 4mm</t>
  </si>
  <si>
    <t>ER20-5</t>
  </si>
  <si>
    <t>Stezna Čaura - ER20 5mm</t>
  </si>
  <si>
    <t>ER20-6</t>
  </si>
  <si>
    <t>Stezna Čaura - ER20 6mm</t>
  </si>
  <si>
    <t>ER20-8</t>
  </si>
  <si>
    <t>Stezna Čaura - ER20 8mm</t>
  </si>
  <si>
    <t>ER25-10</t>
  </si>
  <si>
    <t>Stezna Čaura - ER25 10mm</t>
  </si>
  <si>
    <t>ER25-12</t>
  </si>
  <si>
    <t>Stezna Čaura - ER25 12mm</t>
  </si>
  <si>
    <t>ER25-13</t>
  </si>
  <si>
    <t>Stezna Čaura - ER25 13mm</t>
  </si>
  <si>
    <t>ER25-16</t>
  </si>
  <si>
    <t>Stezna Čaura - ER25 16mm</t>
  </si>
  <si>
    <t>ER25-3.175</t>
  </si>
  <si>
    <t>Stezna Čaura - ER25 3.175mm</t>
  </si>
  <si>
    <t>ER25-6</t>
  </si>
  <si>
    <t>Stezna Čaura - ER25 6mm</t>
  </si>
  <si>
    <t>ER25-8</t>
  </si>
  <si>
    <t>Stezna Čaura - ER25 8mm</t>
  </si>
  <si>
    <t>ER32-10</t>
  </si>
  <si>
    <t>Stezna Čaura - ER32 10mm</t>
  </si>
  <si>
    <t>ER32-12</t>
  </si>
  <si>
    <t>Stezna Čaura - ER32 12mm</t>
  </si>
  <si>
    <t>ER32-16</t>
  </si>
  <si>
    <t>Stezna Čaura - ER32 16mm</t>
  </si>
  <si>
    <t>ER32-18</t>
  </si>
  <si>
    <t>Stezna Čaura - ER32 18mm</t>
  </si>
  <si>
    <t>ER32-20</t>
  </si>
  <si>
    <t>Stezna Čaura - ER32 20mm</t>
  </si>
  <si>
    <t>ER11-A</t>
  </si>
  <si>
    <t>Stezna Matica - M14x0.75</t>
  </si>
  <si>
    <t>ER16-A19</t>
  </si>
  <si>
    <t>Stezna Matica - M19x1</t>
  </si>
  <si>
    <t>ER16-A22</t>
  </si>
  <si>
    <t>Stezna Matica - M22x1.5</t>
  </si>
  <si>
    <t>ER20-A NUT</t>
  </si>
  <si>
    <t>Stezna Matica - M25x1.5</t>
  </si>
  <si>
    <t>ER20-A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</si>
</sst>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sz val="10"/>
      <name val="DejaVu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styles" Target="styles.xml" /><Relationship Id="rId90" Type="http://schemas.openxmlformats.org/officeDocument/2006/relationships/sharedStrings" Target="sharedStrings.xml" /><Relationship Id="rId9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23.8515625" style="0" customWidth="1"/>
    <col min="3" max="3" width="55.574218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6</v>
      </c>
      <c r="C2" t="s">
        <v>7</v>
      </c>
      <c r="D2" s="2">
        <v>89</v>
      </c>
      <c r="E2" s="2">
        <v>10</v>
      </c>
      <c r="F2" s="3" t="str">
        <f>HYPERLINK("http://www.sah.co.rs/ms-290-220v.html?___store=serbian"," Pogledajte proizvod na sajtu -&gt;")</f>
        <v> Pogledajte proizvod na sajtu -&gt;</v>
      </c>
    </row>
    <row r="3" spans="1:6" ht="12.75">
      <c r="A3" s="2">
        <v>2</v>
      </c>
      <c r="B3" t="s">
        <v>8</v>
      </c>
      <c r="C3" t="s">
        <v>9</v>
      </c>
      <c r="D3" s="2">
        <v>45</v>
      </c>
      <c r="E3" s="2">
        <v>10</v>
      </c>
      <c r="F3" s="3" t="str">
        <f>HYPERLINK("http://www.sah.co.rs/ms-290-24v.html?___store=serbian"," Pogledajte proizvod na sajtu -&gt;")</f>
        <v> Pogledajte proizvod na sajtu -&gt;</v>
      </c>
    </row>
    <row r="4" spans="1:6" ht="12.75">
      <c r="A4" s="2">
        <v>3</v>
      </c>
      <c r="B4" t="s">
        <v>10</v>
      </c>
      <c r="C4" t="s">
        <v>11</v>
      </c>
      <c r="D4" s="2">
        <v>79</v>
      </c>
      <c r="E4" s="2">
        <v>4</v>
      </c>
      <c r="F4" s="3" t="str">
        <f>HYPERLINK("http://www.sah.co.rs/fm-2-220v.html?___store=serbian"," Pogledajte proizvod na sajtu -&gt;")</f>
        <v> Pogledajte proizvod na sajtu -&gt;</v>
      </c>
    </row>
    <row r="5" spans="1:6" ht="12.75">
      <c r="A5" s="2">
        <v>4</v>
      </c>
      <c r="B5" t="s">
        <v>12</v>
      </c>
      <c r="C5" t="s">
        <v>11</v>
      </c>
      <c r="D5" s="2">
        <v>37</v>
      </c>
      <c r="E5" s="2">
        <v>4</v>
      </c>
      <c r="F5" s="3" t="str">
        <f>HYPERLINK("http://www.sah.co.rs/fm-3-220v.html?___store=serbian"," Pogledajte proizvod na sajtu -&gt;")</f>
        <v> Pogledajte proizvod na sajtu -&gt;</v>
      </c>
    </row>
    <row r="6" spans="1:6" ht="12.75">
      <c r="A6" s="2">
        <v>5</v>
      </c>
      <c r="B6" t="s">
        <v>13</v>
      </c>
      <c r="C6" t="s">
        <v>14</v>
      </c>
      <c r="D6" s="2">
        <v>58</v>
      </c>
      <c r="E6" s="2">
        <v>5</v>
      </c>
      <c r="F6" s="3" t="str">
        <f>HYPERLINK("http://www.sah.co.rs/fm-3-24v.html?___store=serbian"," Pogledajte proizvod na sajtu -&gt;")</f>
        <v> Pogledajte proizvod na sajtu -&gt;</v>
      </c>
    </row>
    <row r="7" spans="1:6" ht="12.75">
      <c r="A7" s="2">
        <v>6</v>
      </c>
      <c r="B7" t="s">
        <v>15</v>
      </c>
      <c r="C7" t="s">
        <v>14</v>
      </c>
      <c r="D7" s="2">
        <v>53</v>
      </c>
      <c r="E7" s="2">
        <v>5</v>
      </c>
      <c r="F7" s="3" t="str">
        <f>HYPERLINK("http://www.sah.co.rs/fm-2-24v.html?___store=serbian"," Pogledajte proizvod na sajtu -&gt;")</f>
        <v> Pogledajte proizvod na sajtu -&gt;</v>
      </c>
    </row>
    <row r="8" spans="1:6" ht="12.75">
      <c r="A8" s="2">
        <v>7</v>
      </c>
      <c r="B8" t="s">
        <v>16</v>
      </c>
      <c r="C8" t="s">
        <v>17</v>
      </c>
      <c r="D8" s="2">
        <v>49</v>
      </c>
      <c r="E8" s="2">
        <v>8</v>
      </c>
      <c r="F8" s="3" t="str">
        <f>HYPERLINK("http://www.sah.co.rs/ha-2.html?___store=serbian"," Pogledajte proizvod na sajtu -&gt;")</f>
        <v> Pogledajte proizvod na sajtu -&gt;</v>
      </c>
    </row>
    <row r="9" spans="1:6" ht="12.75">
      <c r="A9" s="2">
        <v>8</v>
      </c>
      <c r="B9" t="s">
        <v>18</v>
      </c>
      <c r="C9" t="s">
        <v>19</v>
      </c>
      <c r="D9" s="2">
        <v>50</v>
      </c>
      <c r="E9" s="2">
        <v>1.5</v>
      </c>
      <c r="F9" s="3" t="str">
        <f>HYPERLINK("http://www.sah.co.rs/ad116-22dsf-crvena-220v.html?___store=serbian"," Pogledajte proizvod na sajtu -&gt;")</f>
        <v> Pogledajte proizvod na sajtu -&gt;</v>
      </c>
    </row>
    <row r="10" spans="1:6" ht="12.75">
      <c r="A10" s="2">
        <v>9</v>
      </c>
      <c r="B10" t="s">
        <v>20</v>
      </c>
      <c r="C10" t="s">
        <v>21</v>
      </c>
      <c r="D10" s="2">
        <v>60</v>
      </c>
      <c r="E10" s="2">
        <v>1.5</v>
      </c>
      <c r="F10" s="3" t="str">
        <f>HYPERLINK("http://www.sah.co.rs/ad116-22dsf-crvena-24v.html?___store=serbian"," Pogledajte proizvod na sajtu -&gt;")</f>
        <v> Pogledajte proizvod na sajtu -&gt;</v>
      </c>
    </row>
    <row r="11" spans="1:6" ht="12.75">
      <c r="A11" s="2">
        <v>10</v>
      </c>
      <c r="B11" t="s">
        <v>22</v>
      </c>
      <c r="C11" t="s">
        <v>23</v>
      </c>
      <c r="D11" s="2">
        <v>146</v>
      </c>
      <c r="E11" s="2">
        <v>1.5</v>
      </c>
      <c r="F11" s="3" t="str">
        <f>HYPERLINK("http://www.sah.co.rs/ad116-22dsf-zelena-220v.html?___store=serbian"," Pogledajte proizvod na sajtu -&gt;")</f>
        <v> Pogledajte proizvod na sajtu -&gt;</v>
      </c>
    </row>
    <row r="12" spans="1:6" ht="12.75">
      <c r="A12" s="2">
        <v>11</v>
      </c>
      <c r="B12" t="s">
        <v>24</v>
      </c>
      <c r="C12" t="s">
        <v>25</v>
      </c>
      <c r="D12" s="2">
        <v>51</v>
      </c>
      <c r="E12" s="2">
        <v>1.5</v>
      </c>
      <c r="F12" s="3" t="str">
        <f>HYPERLINK("http://www.sah.co.rs/ad116-22dsf-zelena-24v.html?___store=serbian"," Pogledajte proizvod na sajtu -&gt;")</f>
        <v> Pogledajte proizvod na sajtu -&gt;</v>
      </c>
    </row>
    <row r="13" spans="1:6" ht="12.75">
      <c r="A13" s="2">
        <v>12</v>
      </c>
      <c r="B13" t="s">
        <v>26</v>
      </c>
      <c r="C13" t="s">
        <v>27</v>
      </c>
      <c r="D13" s="2">
        <v>33</v>
      </c>
      <c r="E13" s="2">
        <v>1.5</v>
      </c>
      <c r="F13" s="3" t="str">
        <f>HYPERLINK("http://www.sah.co.rs/ad116-22dsf-zuta-220v.html?___store=serbian"," Pogledajte proizvod na sajtu -&gt;")</f>
        <v> Pogledajte proizvod na sajtu -&gt;</v>
      </c>
    </row>
    <row r="14" spans="1:6" ht="12.75">
      <c r="A14" s="2">
        <v>13</v>
      </c>
      <c r="B14" t="s">
        <v>28</v>
      </c>
      <c r="C14" t="s">
        <v>29</v>
      </c>
      <c r="D14" s="2">
        <v>46</v>
      </c>
      <c r="E14" s="2">
        <v>1.5</v>
      </c>
      <c r="F14" s="3" t="str">
        <f>HYPERLINK("http://www.sah.co.rs/ad116-22dsf-zuta-24v.html?___store=serbian"," Pogledajte proizvod na sajtu -&gt;")</f>
        <v> Pogledajte proizvod na sajtu -&gt;</v>
      </c>
    </row>
    <row r="15" spans="1:6" ht="12.75">
      <c r="A15" s="2">
        <v>14</v>
      </c>
      <c r="B15" t="s">
        <v>30</v>
      </c>
      <c r="C15" t="s">
        <v>31</v>
      </c>
      <c r="D15" s="2">
        <v>35</v>
      </c>
      <c r="E15" s="2">
        <v>8</v>
      </c>
      <c r="F15" s="3" t="str">
        <f>HYPERLINK("http://www.sah.co.rs/lte-1081-crveno-12v.html?___store=serbian"," Pogledajte proizvod na sajtu -&gt;")</f>
        <v> Pogledajte proizvod na sajtu -&gt;</v>
      </c>
    </row>
    <row r="16" spans="1:6" ht="12.75">
      <c r="A16" s="2">
        <v>15</v>
      </c>
      <c r="B16" t="s">
        <v>32</v>
      </c>
      <c r="C16" t="s">
        <v>33</v>
      </c>
      <c r="D16" s="2">
        <v>2</v>
      </c>
      <c r="E16" s="2">
        <v>8</v>
      </c>
      <c r="F16" s="3" t="str">
        <f>HYPERLINK("http://www.sah.co.rs/lte-1081-crveno-220v.html?___store=serbian"," Pogledajte proizvod na sajtu -&gt;")</f>
        <v> Pogledajte proizvod na sajtu -&gt;</v>
      </c>
    </row>
    <row r="17" spans="1:6" ht="12.75">
      <c r="A17" s="2">
        <v>16</v>
      </c>
      <c r="B17" t="s">
        <v>34</v>
      </c>
      <c r="C17" t="s">
        <v>35</v>
      </c>
      <c r="D17" s="2">
        <v>68</v>
      </c>
      <c r="E17" s="2">
        <v>8</v>
      </c>
      <c r="F17" s="3" t="str">
        <f>HYPERLINK("http://www.sah.co.rs/lte-1081-crveno-24v.html?___store=serbian"," Pogledajte proizvod na sajtu -&gt;")</f>
        <v> Pogledajte proizvod na sajtu -&gt;</v>
      </c>
    </row>
    <row r="18" spans="1:6" ht="12.75">
      <c r="A18" s="2">
        <v>17</v>
      </c>
      <c r="B18" t="s">
        <v>36</v>
      </c>
      <c r="C18" t="s">
        <v>37</v>
      </c>
      <c r="D18" s="2">
        <v>11</v>
      </c>
      <c r="E18" s="2">
        <v>8</v>
      </c>
      <c r="F18" s="3" t="str">
        <f>HYPERLINK("http://www.sah.co.rs/lte-1081-plavo-220v.html?___store=serbian"," Pogledajte proizvod na sajtu -&gt;")</f>
        <v> Pogledajte proizvod na sajtu -&gt;</v>
      </c>
    </row>
    <row r="19" spans="1:6" ht="12.75">
      <c r="A19" s="2">
        <v>18</v>
      </c>
      <c r="B19" t="s">
        <v>38</v>
      </c>
      <c r="C19" t="s">
        <v>39</v>
      </c>
      <c r="D19" s="2">
        <v>21</v>
      </c>
      <c r="E19" s="2">
        <v>8</v>
      </c>
      <c r="F19" s="3" t="str">
        <f>HYPERLINK("http://www.sah.co.rs/lte-1081-zuto-220v.html?___store=serbian"," Pogledajte proizvod na sajtu -&gt;")</f>
        <v> Pogledajte proizvod na sajtu -&gt;</v>
      </c>
    </row>
    <row r="20" spans="1:6" ht="12.75">
      <c r="A20" s="2">
        <v>19</v>
      </c>
      <c r="B20" t="s">
        <v>40</v>
      </c>
      <c r="C20" t="s">
        <v>41</v>
      </c>
      <c r="D20" s="2">
        <v>32</v>
      </c>
      <c r="E20" s="2">
        <v>18</v>
      </c>
      <c r="F20" s="3" t="str">
        <f>HYPERLINK("http://www.sah.co.rs/lta-505t2-220v.html?___store=serbian"," Pogledajte proizvod na sajtu -&gt;")</f>
        <v> Pogledajte proizvod na sajtu -&gt;</v>
      </c>
    </row>
    <row r="21" spans="1:6" ht="12.75">
      <c r="A21" s="2">
        <v>20</v>
      </c>
      <c r="B21" t="s">
        <v>42</v>
      </c>
      <c r="C21" t="s">
        <v>43</v>
      </c>
      <c r="D21" s="2">
        <v>22</v>
      </c>
      <c r="E21" s="2">
        <v>18</v>
      </c>
      <c r="F21" s="3" t="str">
        <f>HYPERLINK("http://www.sah.co.rs/lta-505t2-24v.html?___store=serbian"," Pogledajte proizvod na sajtu -&gt;")</f>
        <v> Pogledajte proizvod na sajtu -&gt;</v>
      </c>
    </row>
    <row r="22" spans="1:6" ht="12.75">
      <c r="A22" s="2">
        <v>21</v>
      </c>
      <c r="B22" t="s">
        <v>44</v>
      </c>
      <c r="C22" t="s">
        <v>45</v>
      </c>
      <c r="D22" s="2">
        <v>23</v>
      </c>
      <c r="E22" s="2">
        <v>16</v>
      </c>
      <c r="F22" s="3" t="str">
        <f>HYPERLINK("http://www.sah.co.rs/lta-205t-j-3-24v.html?___store=serbian"," Pogledajte proizvod na sajtu -&gt;")</f>
        <v> Pogledajte proizvod na sajtu -&gt;</v>
      </c>
    </row>
    <row r="23" spans="1:6" ht="12.75">
      <c r="A23" s="2">
        <v>22</v>
      </c>
      <c r="B23" t="s">
        <v>46</v>
      </c>
      <c r="C23" t="s">
        <v>47</v>
      </c>
      <c r="D23" s="2">
        <v>11</v>
      </c>
      <c r="E23" s="2">
        <v>25</v>
      </c>
      <c r="F23" s="3" t="str">
        <f>HYPERLINK("http://www.sah.co.rs/lta-505wj3-220v.html?___store=serbian"," Pogledajte proizvod na sajtu -&gt;")</f>
        <v> Pogledajte proizvod na sajtu -&gt;</v>
      </c>
    </row>
    <row r="24" spans="1:6" ht="12.75">
      <c r="A24" s="2">
        <v>23</v>
      </c>
      <c r="B24" t="s">
        <v>48</v>
      </c>
      <c r="C24" t="s">
        <v>49</v>
      </c>
      <c r="D24" s="2">
        <v>12</v>
      </c>
      <c r="E24" s="2">
        <v>25</v>
      </c>
      <c r="F24" s="3" t="str">
        <f>HYPERLINK("http://www.sah.co.rs/lta-505wj3-24v.html?___store=serbian"," Pogledajte proizvod na sajtu -&gt;")</f>
        <v> Pogledajte proizvod na sajtu -&gt;</v>
      </c>
    </row>
    <row r="25" spans="1:6" ht="12.75">
      <c r="A25" s="2">
        <v>24</v>
      </c>
      <c r="B25" t="s">
        <v>50</v>
      </c>
      <c r="C25" t="s">
        <v>51</v>
      </c>
      <c r="D25" s="2">
        <v>62</v>
      </c>
      <c r="E25" s="2">
        <v>20</v>
      </c>
      <c r="F25" s="3" t="str">
        <f>HYPERLINK("http://www.sah.co.rs/lta-505w3-220v.html?___store=serbian"," Pogledajte proizvod na sajtu -&gt;")</f>
        <v> Pogledajte proizvod na sajtu -&gt;</v>
      </c>
    </row>
    <row r="26" spans="1:6" ht="12.75">
      <c r="A26" s="2">
        <v>25</v>
      </c>
      <c r="B26" t="s">
        <v>52</v>
      </c>
      <c r="C26" t="s">
        <v>53</v>
      </c>
      <c r="D26" s="2">
        <v>63</v>
      </c>
      <c r="E26" s="2">
        <v>20</v>
      </c>
      <c r="F26" s="3" t="str">
        <f>HYPERLINK("http://www.sah.co.rs/lta-505w3-24v.html?___store=serbian"," Pogledajte proizvod na sajtu -&gt;")</f>
        <v> Pogledajte proizvod na sajtu -&gt;</v>
      </c>
    </row>
    <row r="27" spans="1:6" ht="12.75">
      <c r="A27" s="2">
        <v>26</v>
      </c>
      <c r="B27" t="s">
        <v>54</v>
      </c>
      <c r="C27" t="s">
        <v>55</v>
      </c>
      <c r="D27" s="2">
        <v>4</v>
      </c>
      <c r="E27" s="2">
        <v>11</v>
      </c>
      <c r="F27" s="3" t="str">
        <f>HYPERLINK("http://www.sah.co.rs/lta-204-3-220v.html?___store=serbian"," Pogledajte proizvod na sajtu -&gt;")</f>
        <v> Pogledajte proizvod na sajtu -&gt;</v>
      </c>
    </row>
    <row r="28" spans="1:6" ht="12.75">
      <c r="A28" s="2">
        <v>27</v>
      </c>
      <c r="B28" t="s">
        <v>56</v>
      </c>
      <c r="C28" t="s">
        <v>57</v>
      </c>
      <c r="D28" s="2">
        <v>40</v>
      </c>
      <c r="E28" s="2">
        <v>11</v>
      </c>
      <c r="F28" s="3" t="str">
        <f>HYPERLINK("http://www.sah.co.rs/lta-205-3-24v.html?___store=serbian"," Pogledajte proizvod na sajtu -&gt;")</f>
        <v> Pogledajte proizvod na sajtu -&gt;</v>
      </c>
    </row>
    <row r="29" spans="1:6" ht="12.75">
      <c r="A29" s="2">
        <v>28</v>
      </c>
      <c r="B29" t="s">
        <v>58</v>
      </c>
      <c r="C29" t="s">
        <v>59</v>
      </c>
      <c r="D29" s="2">
        <v>60</v>
      </c>
      <c r="E29" s="2">
        <v>20</v>
      </c>
      <c r="F29" s="3" t="str">
        <f>HYPERLINK("http://www.sah.co.rs/lta-505t3-220v.html?___store=serbian"," Pogledajte proizvod na sajtu -&gt;")</f>
        <v> Pogledajte proizvod na sajtu -&gt;</v>
      </c>
    </row>
    <row r="30" spans="1:6" ht="12.75">
      <c r="A30" s="2">
        <v>29</v>
      </c>
      <c r="B30" t="s">
        <v>60</v>
      </c>
      <c r="C30" t="s">
        <v>61</v>
      </c>
      <c r="D30" s="2">
        <v>38</v>
      </c>
      <c r="E30" s="2">
        <v>20</v>
      </c>
      <c r="F30" s="3" t="str">
        <f>HYPERLINK("http://www.sah.co.rs/lta-505t3-24v.html?___store=serbian"," Pogledajte proizvod na sajtu -&gt;")</f>
        <v> Pogledajte proizvod na sajtu -&gt;</v>
      </c>
    </row>
    <row r="31" spans="1:6" ht="12.75">
      <c r="A31" s="2">
        <v>30</v>
      </c>
      <c r="B31" t="s">
        <v>62</v>
      </c>
      <c r="C31" t="s">
        <v>63</v>
      </c>
      <c r="D31" s="2">
        <v>182</v>
      </c>
      <c r="E31" s="2">
        <v>5</v>
      </c>
      <c r="F31" s="3" t="str">
        <f>HYPERLINK("http://www.sah.co.rs/ad22-16ms-crvena-220v.html?___store=serbian"," Pogledajte proizvod na sajtu -&gt;")</f>
        <v> Pogledajte proizvod na sajtu -&gt;</v>
      </c>
    </row>
    <row r="32" spans="1:6" ht="12.75">
      <c r="A32" s="2">
        <v>31</v>
      </c>
      <c r="B32" t="s">
        <v>64</v>
      </c>
      <c r="C32" t="s">
        <v>65</v>
      </c>
      <c r="D32" s="2">
        <v>133</v>
      </c>
      <c r="E32" s="2">
        <v>5</v>
      </c>
      <c r="F32" s="3" t="str">
        <f>HYPERLINK("http://www.sah.co.rs/ad22-16ms-crvena-24v.html?___store=serbian"," Pogledajte proizvod na sajtu -&gt;")</f>
        <v> Pogledajte proizvod na sajtu -&gt;</v>
      </c>
    </row>
    <row r="33" spans="1:6" ht="12.75">
      <c r="A33" s="2">
        <v>32</v>
      </c>
      <c r="B33" t="s">
        <v>66</v>
      </c>
      <c r="C33" t="s">
        <v>67</v>
      </c>
      <c r="D33" s="2">
        <v>40</v>
      </c>
      <c r="E33" s="2">
        <v>8</v>
      </c>
      <c r="F33" s="3" t="str">
        <f>HYPERLINK("http://www.sah.co.rs/mp019s-sm11-crvena-24v.html?___store=serbian"," Pogledajte proizvod na sajtu -&gt;")</f>
        <v> Pogledajte proizvod na sajtu -&gt;</v>
      </c>
    </row>
    <row r="34" spans="1:6" ht="12.75">
      <c r="A34" s="2">
        <v>33</v>
      </c>
      <c r="B34" t="s">
        <v>68</v>
      </c>
      <c r="C34" t="s">
        <v>69</v>
      </c>
      <c r="D34" s="2">
        <v>411</v>
      </c>
      <c r="E34" s="2">
        <v>5</v>
      </c>
      <c r="F34" s="3" t="str">
        <f>HYPERLINK("http://www.sah.co.rs/ad22-ds-ms-crvena-220v.html?___store=serbian"," Pogledajte proizvod na sajtu -&gt;")</f>
        <v> Pogledajte proizvod na sajtu -&gt;</v>
      </c>
    </row>
    <row r="35" spans="1:6" ht="12.75">
      <c r="A35" s="2">
        <v>34</v>
      </c>
      <c r="B35" t="s">
        <v>70</v>
      </c>
      <c r="C35" t="s">
        <v>71</v>
      </c>
      <c r="D35" s="2">
        <v>0</v>
      </c>
      <c r="E35" s="2">
        <v>5</v>
      </c>
      <c r="F35" s="3" t="str">
        <f>HYPERLINK("http://www.sah.co.rs/ad22-ds-ms-crvena-24v.html?___store=serbian"," Pogledajte proizvod na sajtu -&gt;")</f>
        <v> Pogledajte proizvod na sajtu -&gt;</v>
      </c>
    </row>
    <row r="36" spans="1:6" ht="12.75">
      <c r="A36" s="2">
        <v>35</v>
      </c>
      <c r="B36" t="s">
        <v>72</v>
      </c>
      <c r="C36" t="s">
        <v>73</v>
      </c>
      <c r="D36" s="2">
        <v>148</v>
      </c>
      <c r="E36" s="2">
        <v>5</v>
      </c>
      <c r="F36" s="3" t="str">
        <f>HYPERLINK("http://www.sah.co.rs/ad22-ds-ms-zelena-220v.html?___store=serbian"," Pogledajte proizvod na sajtu -&gt;")</f>
        <v> Pogledajte proizvod na sajtu -&gt;</v>
      </c>
    </row>
    <row r="37" spans="1:6" ht="12.75">
      <c r="A37" s="2">
        <v>36</v>
      </c>
      <c r="B37" t="s">
        <v>74</v>
      </c>
      <c r="C37" t="s">
        <v>75</v>
      </c>
      <c r="D37" s="2">
        <v>147</v>
      </c>
      <c r="E37" s="2">
        <v>5</v>
      </c>
      <c r="F37" s="3" t="str">
        <f>HYPERLINK("http://www.sah.co.rs/ad22-ds-ms-zelena-24v.html?___store=serbian"," Pogledajte proizvod na sajtu -&gt;")</f>
        <v> Pogledajte proizvod na sajtu -&gt;</v>
      </c>
    </row>
    <row r="38" spans="1:6" ht="12.75">
      <c r="A38" s="2">
        <v>37</v>
      </c>
      <c r="B38" t="s">
        <v>76</v>
      </c>
      <c r="C38" t="s">
        <v>77</v>
      </c>
      <c r="D38" s="2">
        <v>149</v>
      </c>
      <c r="E38" s="2">
        <v>5</v>
      </c>
      <c r="F38" s="3" t="str">
        <f>HYPERLINK("http://www.sah.co.rs/ad22-ds-ms-zuta-220v.html?___store=serbian"," Pogledajte proizvod na sajtu -&gt;")</f>
        <v> Pogledajte proizvod na sajtu -&gt;</v>
      </c>
    </row>
    <row r="39" spans="1:6" ht="12.75">
      <c r="A39" s="2">
        <v>38</v>
      </c>
      <c r="B39" t="s">
        <v>78</v>
      </c>
      <c r="C39" t="s">
        <v>79</v>
      </c>
      <c r="D39" s="2">
        <v>148</v>
      </c>
      <c r="E39" s="2">
        <v>5</v>
      </c>
      <c r="F39" s="3" t="str">
        <f>HYPERLINK("http://www.sah.co.rs/ad22-ds-ms-zuta-24v.html?___store=serbian"," Pogledajte proizvod na sajtu -&gt;")</f>
        <v> Pogledajte proizvod na sajtu -&gt;</v>
      </c>
    </row>
    <row r="40" spans="1:6" ht="12.75">
      <c r="A40" s="2">
        <v>39</v>
      </c>
      <c r="B40" t="s">
        <v>80</v>
      </c>
      <c r="C40" t="s">
        <v>81</v>
      </c>
      <c r="D40" s="2">
        <v>47</v>
      </c>
      <c r="E40" s="2">
        <v>4</v>
      </c>
      <c r="F40" s="3" t="str">
        <f>HYPERLINK("http://www.sah.co.rs/ad22-22ds-m-crna-220v.html?___store=serbian"," Pogledajte proizvod na sajtu -&gt;")</f>
        <v> Pogledajte proizvod na sajtu -&gt;</v>
      </c>
    </row>
    <row r="41" spans="1:6" ht="12.75">
      <c r="A41" s="2">
        <v>40</v>
      </c>
      <c r="B41" t="s">
        <v>82</v>
      </c>
      <c r="C41" t="s">
        <v>83</v>
      </c>
      <c r="D41" s="2">
        <v>42</v>
      </c>
      <c r="E41" s="2">
        <v>4</v>
      </c>
      <c r="F41" s="3" t="str">
        <f>HYPERLINK("http://www.sah.co.rs/ad22-22ds-m-crna-24v.html?___store=serbian","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23.00390625" style="0" customWidth="1"/>
    <col min="3" max="3" width="50.71093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338</v>
      </c>
      <c r="C2" t="s">
        <v>339</v>
      </c>
      <c r="D2" s="2">
        <v>92</v>
      </c>
      <c r="E2" s="2">
        <v>6</v>
      </c>
      <c r="F2" s="3" t="str">
        <f>HYPERLINK("http://www.sah.co.rs/dpp-nosac-alata.html?___store=serbian"," Pogledajte proizvod na sajtu -&gt;")</f>
        <v> Pogledajte proizvod na sajtu -&gt;</v>
      </c>
    </row>
    <row r="3" spans="1:6" ht="12.75">
      <c r="A3" s="2">
        <v>2</v>
      </c>
      <c r="B3" t="s">
        <v>340</v>
      </c>
      <c r="C3" t="s">
        <v>341</v>
      </c>
      <c r="D3" s="2">
        <v>43</v>
      </c>
      <c r="E3" s="2">
        <v>3</v>
      </c>
      <c r="F3" s="3" t="str">
        <f>HYPERLINK("http://www.sah.co.rs/ka-300-zastitna-guma-1m.html?___store=serbian"," Pogledajte proizvod na sajtu -&gt;")</f>
        <v> Pogledajte proizvod na sajtu -&gt;</v>
      </c>
    </row>
    <row r="4" spans="1:6" ht="12.75">
      <c r="A4" s="2">
        <v>3</v>
      </c>
      <c r="B4" t="s">
        <v>342</v>
      </c>
      <c r="C4" t="s">
        <v>343</v>
      </c>
      <c r="D4" s="2">
        <v>36</v>
      </c>
      <c r="E4" s="2">
        <v>3</v>
      </c>
      <c r="F4" s="3" t="str">
        <f>HYPERLINK("http://www.sah.co.rs/ka-600-zastitna-guma-1m.html?___store=serbian","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8.7109375" style="0" customWidth="1"/>
    <col min="3" max="3" width="46.4218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344</v>
      </c>
      <c r="C2" t="s">
        <v>345</v>
      </c>
      <c r="D2" s="2">
        <v>100</v>
      </c>
      <c r="E2" s="2">
        <v>20</v>
      </c>
      <c r="F2" s="3" t="str">
        <f>HYPERLINK("http://www.sah.co.rs/dct-19x42tl-12vdc.html?___store=serbian"," Pogledajte proizvod na sajtu -&gt;")</f>
        <v> Pogledajte proizvod na sajtu -&gt;</v>
      </c>
    </row>
    <row r="3" spans="1:6" ht="12.75">
      <c r="A3" s="2">
        <v>2</v>
      </c>
      <c r="B3" t="s">
        <v>346</v>
      </c>
      <c r="C3" t="s">
        <v>347</v>
      </c>
      <c r="D3" s="2">
        <v>47</v>
      </c>
      <c r="E3" s="2">
        <v>20</v>
      </c>
      <c r="F3" s="3" t="str">
        <f>HYPERLINK("http://www.sah.co.rs/dct-19x42tl-24vdc.html?___store=serbian"," Pogledajte proizvod na sajtu -&gt;")</f>
        <v> Pogledajte proizvod na sajtu -&gt;</v>
      </c>
    </row>
    <row r="4" spans="1:6" ht="12.75">
      <c r="A4" s="2">
        <v>3</v>
      </c>
      <c r="B4" t="s">
        <v>348</v>
      </c>
      <c r="C4" t="s">
        <v>349</v>
      </c>
      <c r="D4" s="2">
        <v>18</v>
      </c>
      <c r="E4" s="2">
        <v>30</v>
      </c>
      <c r="F4" s="3" t="str">
        <f>HYPERLINK("http://www.sah.co.rs/dct1000-12vdc.html?___store=serbian"," Pogledajte proizvod na sajtu -&gt;")</f>
        <v> Pogledajte proizvod na sajtu -&gt;</v>
      </c>
    </row>
    <row r="5" spans="1:6" ht="12.75">
      <c r="A5" s="2">
        <v>4</v>
      </c>
      <c r="B5" t="s">
        <v>350</v>
      </c>
      <c r="C5" t="s">
        <v>351</v>
      </c>
      <c r="D5" s="2">
        <v>19</v>
      </c>
      <c r="E5" s="2">
        <v>30</v>
      </c>
      <c r="F5" s="3" t="str">
        <f>HYPERLINK("http://www.sah.co.rs/dct1000-220vac.html?___store=serbian"," Pogledajte proizvod na sajtu -&gt;")</f>
        <v> Pogledajte proizvod na sajtu -&gt;</v>
      </c>
    </row>
    <row r="6" spans="1:6" ht="12.75">
      <c r="A6" s="2">
        <v>5</v>
      </c>
      <c r="B6" t="s">
        <v>352</v>
      </c>
      <c r="C6" t="s">
        <v>353</v>
      </c>
      <c r="D6" s="2">
        <v>16</v>
      </c>
      <c r="E6" s="2">
        <v>15</v>
      </c>
      <c r="F6" s="3" t="str">
        <f>HYPERLINK("http://www.sah.co.rs/dct150-12vdc.html?___store=serbian"," Pogledajte proizvod na sajtu -&gt;")</f>
        <v> Pogledajte proizvod na sajtu -&gt;</v>
      </c>
    </row>
    <row r="7" spans="1:6" ht="12.75">
      <c r="A7" s="2">
        <v>6</v>
      </c>
      <c r="B7" t="s">
        <v>354</v>
      </c>
      <c r="C7" t="s">
        <v>355</v>
      </c>
      <c r="D7" s="2">
        <v>19</v>
      </c>
      <c r="E7" s="2">
        <v>15</v>
      </c>
      <c r="F7" s="3" t="str">
        <f>HYPERLINK("http://www.sah.co.rs/dct150-220vac.html?___store=serbian"," Pogledajte proizvod na sajtu -&gt;")</f>
        <v> Pogledajte proizvod na sajtu -&gt;</v>
      </c>
    </row>
    <row r="8" spans="1:6" ht="12.75">
      <c r="A8" s="2">
        <v>7</v>
      </c>
      <c r="B8" t="s">
        <v>356</v>
      </c>
      <c r="C8" t="s">
        <v>357</v>
      </c>
      <c r="D8" s="2">
        <v>45</v>
      </c>
      <c r="E8" s="2">
        <v>10</v>
      </c>
      <c r="F8" s="3" t="str">
        <f>HYPERLINK("http://www.sah.co.rs/hcne1-1040.html?___store=serbian"," Pogledajte proizvod na sajtu -&gt;")</f>
        <v> Pogledajte proizvod na sajtu -&gt;</v>
      </c>
    </row>
    <row r="9" spans="1:6" ht="12.75">
      <c r="A9" s="2">
        <v>8</v>
      </c>
      <c r="B9" t="s">
        <v>358</v>
      </c>
      <c r="C9" t="s">
        <v>359</v>
      </c>
      <c r="D9" s="2">
        <v>81</v>
      </c>
      <c r="E9" s="2">
        <v>12</v>
      </c>
      <c r="F9" s="3" t="str">
        <f>HYPERLINK("http://www.sah.co.rs/sa-2602.html?___store=serbian"," Pogledajte proizvod na sajtu -&gt;")</f>
        <v> Pogledajte proizvod na sajtu -&gt;</v>
      </c>
    </row>
    <row r="10" spans="1:6" ht="12.75">
      <c r="A10" s="2">
        <v>9</v>
      </c>
      <c r="B10" t="s">
        <v>360</v>
      </c>
      <c r="C10" t="s">
        <v>361</v>
      </c>
      <c r="D10" s="2">
        <v>2</v>
      </c>
      <c r="E10" s="2">
        <v>12</v>
      </c>
      <c r="F10" s="3" t="str">
        <f>HYPERLINK("http://www.sah.co.rs/ao1442l-24a18.html?___store=serbian"," Pogledajte proizvod na sajtu -&gt;")</f>
        <v> Pogledajte proizvod na sajtu -&gt;</v>
      </c>
    </row>
    <row r="11" spans="1:6" ht="12.75">
      <c r="A11" s="2">
        <v>10</v>
      </c>
      <c r="B11" t="s">
        <v>362</v>
      </c>
      <c r="C11" t="s">
        <v>363</v>
      </c>
      <c r="D11" s="2">
        <v>0</v>
      </c>
      <c r="E11" s="2">
        <v>20</v>
      </c>
      <c r="F11" s="3" t="str">
        <f>HYPERLINK("http://www.sah.co.rs/ao2551s-12a10.html?___store=serbian"," Pogledajte proizvod na sajtu -&gt;")</f>
        <v> Pogledajte proizvod na sajtu -&gt;</v>
      </c>
    </row>
    <row r="12" spans="1:6" ht="12.75">
      <c r="A12" s="2">
        <v>11</v>
      </c>
      <c r="B12" t="s">
        <v>364</v>
      </c>
      <c r="C12" t="s">
        <v>365</v>
      </c>
      <c r="D12" s="2">
        <v>3</v>
      </c>
      <c r="E12" s="2">
        <v>20</v>
      </c>
      <c r="F12" s="3" t="str">
        <f>HYPERLINK("http://www.sah.co.rs/ao2551l-24a13-8.html?___store=serbian"," Pogledajte proizvod na sajtu -&gt;")</f>
        <v> Pogledajte proizvod na sajtu -&gt;</v>
      </c>
    </row>
    <row r="13" spans="1:6" ht="12.75">
      <c r="A13" s="2">
        <v>12</v>
      </c>
      <c r="B13" t="s">
        <v>366</v>
      </c>
      <c r="C13" t="s">
        <v>367</v>
      </c>
      <c r="D13" s="2">
        <v>73</v>
      </c>
      <c r="E13" s="2">
        <v>55</v>
      </c>
      <c r="F13" s="3" t="str">
        <f>HYPERLINK("http://www.sah.co.rs/ao45119s-27b09.html?___store=serbian"," Pogledajte proizvod na sajtu -&gt;")</f>
        <v> Pogledajte proizvod na sajtu -&gt;</v>
      </c>
    </row>
    <row r="14" spans="1:6" ht="12.75">
      <c r="A14" s="2">
        <v>13</v>
      </c>
      <c r="B14" t="s">
        <v>368</v>
      </c>
      <c r="C14" t="s">
        <v>369</v>
      </c>
      <c r="D14" s="2">
        <v>25</v>
      </c>
      <c r="E14" s="2">
        <v>50</v>
      </c>
      <c r="F14" s="3" t="str">
        <f>HYPERLINK("http://www.sah.co.rs/mqb1-40n.html?___store=serbian"," Pogledajte proizvod na sajtu -&gt;")</f>
        <v> Pogledajte proizvod na sajtu -&gt;</v>
      </c>
    </row>
    <row r="15" spans="1:6" ht="12.75">
      <c r="A15" s="2">
        <v>14</v>
      </c>
      <c r="B15" t="s">
        <v>370</v>
      </c>
      <c r="C15" t="s">
        <v>371</v>
      </c>
      <c r="D15" s="2">
        <v>24</v>
      </c>
      <c r="E15" s="2">
        <v>20</v>
      </c>
      <c r="F15" s="3" t="str">
        <f>HYPERLINK("http://www.sah.co.rs/sa-3702.html?___store=serbian"," Pogledajte proizvod na sajtu -&gt;")</f>
        <v> Pogledajte proizvod na sajtu -&gt;</v>
      </c>
    </row>
    <row r="16" spans="1:6" ht="12.75">
      <c r="A16" s="2">
        <v>15</v>
      </c>
      <c r="B16" t="s">
        <v>372</v>
      </c>
      <c r="C16" t="s">
        <v>373</v>
      </c>
      <c r="D16" s="2">
        <v>0</v>
      </c>
      <c r="E16" s="2">
        <v>22</v>
      </c>
      <c r="F16" s="3" t="str">
        <f>HYPERLINK("http://www.sah.co.rs/au1564l24a12-5.html?___store=serbian"," Pogledajte proizvod na sajtu -&gt;")</f>
        <v> Pogledajte proizvod na sajtu -&gt;</v>
      </c>
    </row>
    <row r="17" spans="1:6" ht="12.75">
      <c r="A17" s="2">
        <v>16</v>
      </c>
      <c r="B17" t="s">
        <v>374</v>
      </c>
      <c r="C17" t="s">
        <v>375</v>
      </c>
      <c r="D17" s="2">
        <v>318</v>
      </c>
      <c r="E17" s="2">
        <v>20</v>
      </c>
      <c r="F17" s="3" t="str">
        <f>HYPERLINK("http://www.sah.co.rs/hcne1-1564.html?___store=serbian","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9.57421875" style="0" customWidth="1"/>
    <col min="3" max="3" width="27.85156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376</v>
      </c>
      <c r="C2" t="s">
        <v>377</v>
      </c>
      <c r="D2" s="2">
        <v>16</v>
      </c>
      <c r="E2" s="2">
        <v>80</v>
      </c>
      <c r="F2" s="3" t="str">
        <f>HYPERLINK("http://www.sah.co.rs/sks1-5ki.html?___store=serbian"," Pogledajte proizvod na sajtu -&gt;")</f>
        <v> Pogledajte proizvod na sajtu -&gt;</v>
      </c>
    </row>
    <row r="3" spans="1:6" ht="12.75">
      <c r="A3" s="2">
        <v>2</v>
      </c>
      <c r="B3" t="s">
        <v>378</v>
      </c>
      <c r="C3" t="s">
        <v>379</v>
      </c>
      <c r="D3" s="2">
        <v>0</v>
      </c>
      <c r="E3" s="2">
        <v>120</v>
      </c>
      <c r="F3" s="3" t="str">
        <f>HYPERLINK("http://www.sah.co.rs/sks15ki.html?___store=serbian"," Pogledajte proizvod na sajtu -&gt;")</f>
        <v> Pogledajte proizvod na sajtu -&gt;</v>
      </c>
    </row>
    <row r="4" spans="1:6" ht="12.75">
      <c r="A4" s="2">
        <v>3</v>
      </c>
      <c r="B4" t="s">
        <v>380</v>
      </c>
      <c r="C4" t="s">
        <v>381</v>
      </c>
      <c r="D4" s="2">
        <v>8</v>
      </c>
      <c r="E4" s="2">
        <v>150</v>
      </c>
      <c r="F4" s="3" t="str">
        <f>HYPERLINK("http://www.sah.co.rs/sks22ki.html?___store=serbian"," Pogledajte proizvod na sajtu -&gt;")</f>
        <v> Pogledajte proizvod na sajtu -&gt;</v>
      </c>
    </row>
    <row r="5" spans="1:6" ht="12.75">
      <c r="A5" s="2">
        <v>4</v>
      </c>
      <c r="B5" t="s">
        <v>382</v>
      </c>
      <c r="C5" t="s">
        <v>383</v>
      </c>
      <c r="D5" s="2">
        <v>10</v>
      </c>
      <c r="E5" s="2">
        <v>80</v>
      </c>
      <c r="F5" s="3" t="str">
        <f>HYPERLINK("http://www.sah.co.rs/sks3-7ki.html?___store=serbian"," Pogledajte proizvod na sajtu -&gt;")</f>
        <v> Pogledajte proizvod na sajtu -&gt;</v>
      </c>
    </row>
    <row r="6" spans="1:6" ht="12.75">
      <c r="A6" s="2">
        <v>5</v>
      </c>
      <c r="B6" t="s">
        <v>384</v>
      </c>
      <c r="C6" t="s">
        <v>385</v>
      </c>
      <c r="D6" s="2">
        <v>2</v>
      </c>
      <c r="E6" s="2">
        <v>250</v>
      </c>
      <c r="F6" s="3" t="str">
        <f>HYPERLINK("http://www.sah.co.rs/sks37ki.html?___store=serbian"," Pogledajte proizvod na sajtu -&gt;")</f>
        <v> Pogledajte proizvod na sajtu -&gt;</v>
      </c>
    </row>
    <row r="7" spans="1:6" ht="12.75">
      <c r="A7" s="2">
        <v>6</v>
      </c>
      <c r="B7" t="s">
        <v>386</v>
      </c>
      <c r="C7" t="s">
        <v>387</v>
      </c>
      <c r="D7" s="2">
        <v>2</v>
      </c>
      <c r="E7" s="2">
        <v>100</v>
      </c>
      <c r="F7" s="3" t="str">
        <f>HYPERLINK("http://www.sah.co.rs/sks7-5ki.html?___store=serbian","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26.57421875" style="0" customWidth="1"/>
    <col min="3" max="3" width="68.1406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388</v>
      </c>
      <c r="C2" t="s">
        <v>389</v>
      </c>
      <c r="D2" s="2">
        <v>32</v>
      </c>
      <c r="E2" s="2">
        <v>75</v>
      </c>
      <c r="F2" s="3" t="str">
        <f>HYPERLINK("http://www.sah.co.rs/lk-80-6.html?___store=serbian"," Pogledajte proizvod na sajtu -&gt;")</f>
        <v> Pogledajte proizvod na sajtu -&gt;</v>
      </c>
    </row>
    <row r="3" spans="1:6" ht="12.75">
      <c r="A3" s="2">
        <v>2</v>
      </c>
      <c r="B3" t="s">
        <v>390</v>
      </c>
      <c r="C3" t="s">
        <v>391</v>
      </c>
      <c r="D3" s="2">
        <v>4</v>
      </c>
      <c r="E3" s="2">
        <v>50</v>
      </c>
      <c r="F3" s="3" t="str">
        <f>HYPERLINK("http://www.sah.co.rs/dhc-1m.html?___store=serbian"," Pogledajte proizvod na sajtu -&gt;")</f>
        <v> Pogledajte proizvod na sajtu -&gt;</v>
      </c>
    </row>
    <row r="4" spans="1:6" ht="12.75">
      <c r="A4" s="2">
        <v>3</v>
      </c>
      <c r="B4" t="s">
        <v>392</v>
      </c>
      <c r="C4" t="s">
        <v>393</v>
      </c>
      <c r="D4" s="2">
        <v>87</v>
      </c>
      <c r="E4" s="2">
        <v>75</v>
      </c>
      <c r="F4" s="3" t="str">
        <f>HYPERLINK("http://www.sah.co.rs/lk-80-4.html?___store=serbian"," Pogledajte proizvod na sajtu -&gt;")</f>
        <v> Pogledajte proizvod na sajtu -&gt;</v>
      </c>
    </row>
    <row r="5" spans="1:6" ht="12.75">
      <c r="A5" s="2">
        <v>4</v>
      </c>
      <c r="B5" t="s">
        <v>394</v>
      </c>
      <c r="C5" t="s">
        <v>395</v>
      </c>
      <c r="D5" s="2">
        <v>54</v>
      </c>
      <c r="E5" s="2">
        <v>100</v>
      </c>
      <c r="F5" s="3" t="str">
        <f>HYPERLINK("http://www.sah.co.rs/psc-mc-abz-t-24.html?___store=serbian"," Pogledajte proizvod na sajtu -&gt;")</f>
        <v> Pogledajte proizvod na sajtu -&gt;</v>
      </c>
    </row>
    <row r="6" spans="1:6" ht="12.75">
      <c r="A6" s="2">
        <v>5</v>
      </c>
      <c r="B6" t="s">
        <v>396</v>
      </c>
      <c r="C6" t="s">
        <v>397</v>
      </c>
      <c r="D6" s="2">
        <v>13</v>
      </c>
      <c r="E6" s="2">
        <v>60</v>
      </c>
      <c r="F6" s="3" t="str">
        <f>HYPERLINK("http://www.sah.co.rs/isc3806-003e-10bz3-5-24f.html?___store=serbian"," Pogledajte proizvod na sajtu -&gt;")</f>
        <v> Pogledajte proizvod na sajtu -&gt;</v>
      </c>
    </row>
    <row r="7" spans="1:6" ht="12.75">
      <c r="A7" s="2">
        <v>6</v>
      </c>
      <c r="B7" t="s">
        <v>398</v>
      </c>
      <c r="C7" t="s">
        <v>399</v>
      </c>
      <c r="D7" s="2">
        <v>7</v>
      </c>
      <c r="E7" s="2">
        <v>60</v>
      </c>
      <c r="F7" s="3" t="str">
        <f>HYPERLINK("http://www.sah.co.rs/hy38a6-p4ar-10.html?___store=serbian"," Pogledajte proizvod na sajtu -&gt;")</f>
        <v> Pogledajte proizvod na sajtu -&gt;</v>
      </c>
    </row>
    <row r="8" spans="1:6" ht="12.75">
      <c r="A8" s="2">
        <v>7</v>
      </c>
      <c r="B8" t="s">
        <v>400</v>
      </c>
      <c r="C8" t="s">
        <v>401</v>
      </c>
      <c r="D8" s="2">
        <v>14</v>
      </c>
      <c r="E8" s="2">
        <v>90</v>
      </c>
      <c r="F8" s="3" t="str">
        <f>HYPERLINK("http://www.sah.co.rs/isn5806-001c-100bz3-5-24f.html?___store=serbian"," Pogledajte proizvod na sajtu -&gt;")</f>
        <v> Pogledajte proizvod na sajtu -&gt;</v>
      </c>
    </row>
    <row r="9" spans="1:6" ht="12.75">
      <c r="A9" s="2">
        <v>8</v>
      </c>
      <c r="B9" t="s">
        <v>402</v>
      </c>
      <c r="C9" t="s">
        <v>401</v>
      </c>
      <c r="D9" s="2">
        <v>9</v>
      </c>
      <c r="E9" s="2">
        <v>90</v>
      </c>
      <c r="F9" s="3" t="str">
        <f>HYPERLINK("http://www.sah.co.rs/isc5810-001c-100bz1-5-24f.html?___store=serbian"," Pogledajte proizvod na sajtu -&gt;")</f>
        <v> Pogledajte proizvod na sajtu -&gt;</v>
      </c>
    </row>
    <row r="10" spans="1:6" ht="12.75">
      <c r="A10" s="2">
        <v>9</v>
      </c>
      <c r="B10" t="s">
        <v>403</v>
      </c>
      <c r="C10" t="s">
        <v>401</v>
      </c>
      <c r="D10" s="2">
        <v>7</v>
      </c>
      <c r="E10" s="2">
        <v>60</v>
      </c>
      <c r="F10" s="3" t="str">
        <f>HYPERLINK("http://www.sah.co.rs/isc3806-003e-100bz3-5-24f.html?___store=serbian"," Pogledajte proizvod na sajtu -&gt;")</f>
        <v> Pogledajte proizvod na sajtu -&gt;</v>
      </c>
    </row>
    <row r="11" spans="1:6" ht="12.75">
      <c r="A11" s="2">
        <v>10</v>
      </c>
      <c r="B11" t="s">
        <v>404</v>
      </c>
      <c r="C11" t="s">
        <v>405</v>
      </c>
      <c r="D11" s="2">
        <v>23</v>
      </c>
      <c r="E11" s="2">
        <v>60</v>
      </c>
      <c r="F11" s="3" t="str">
        <f>HYPERLINK("http://www.sah.co.rs/hy38a6-p4ar-100.html?___store=serbian"," Pogledajte proizvod na sajtu -&gt;")</f>
        <v> Pogledajte proizvod na sajtu -&gt;</v>
      </c>
    </row>
    <row r="12" spans="1:6" ht="12.75">
      <c r="A12" s="2">
        <v>11</v>
      </c>
      <c r="B12" t="s">
        <v>406</v>
      </c>
      <c r="C12" t="s">
        <v>405</v>
      </c>
      <c r="D12" s="2">
        <v>1</v>
      </c>
      <c r="E12" s="2">
        <v>110</v>
      </c>
      <c r="F12" s="3" t="str">
        <f>HYPERLINK("http://www.sah.co.rs/hy58a10-p4ar-100c.html?___store=serbian"," Pogledajte proizvod na sajtu -&gt;")</f>
        <v> Pogledajte proizvod na sajtu -&gt;</v>
      </c>
    </row>
    <row r="13" spans="1:6" ht="12.75">
      <c r="A13" s="2">
        <v>12</v>
      </c>
      <c r="B13" t="s">
        <v>407</v>
      </c>
      <c r="C13" t="s">
        <v>408</v>
      </c>
      <c r="D13" s="2">
        <v>10</v>
      </c>
      <c r="E13" s="2">
        <v>40</v>
      </c>
      <c r="F13" s="3" t="str">
        <f>HYPERLINK("http://www.sah.co.rs/gts06-0p-ra1000b-2m.html?___store=serbian"," Pogledajte proizvod na sajtu -&gt;")</f>
        <v> Pogledajte proizvod na sajtu -&gt;</v>
      </c>
    </row>
    <row r="14" spans="1:6" ht="12.75">
      <c r="A14" s="2">
        <v>13</v>
      </c>
      <c r="B14" t="s">
        <v>409</v>
      </c>
      <c r="C14" t="s">
        <v>410</v>
      </c>
      <c r="D14" s="2">
        <v>45</v>
      </c>
      <c r="E14" s="2">
        <v>45</v>
      </c>
      <c r="F14" s="3" t="str">
        <f>HYPERLINK("http://www.sah.co.rs/dhc40m6-1000.html?___store=serbian"," Pogledajte proizvod na sajtu -&gt;")</f>
        <v> Pogledajte proizvod na sajtu -&gt;</v>
      </c>
    </row>
    <row r="15" spans="1:6" ht="12.75">
      <c r="A15" s="2">
        <v>14</v>
      </c>
      <c r="B15" t="s">
        <v>411</v>
      </c>
      <c r="C15" t="s">
        <v>412</v>
      </c>
      <c r="D15" s="2">
        <v>3</v>
      </c>
      <c r="E15" s="2">
        <v>100</v>
      </c>
      <c r="F15" s="3" t="str">
        <f>HYPERLINK("http://www.sah.co.rs/isa5208-001g1000bz1-12-24f.html?___store=serbian"," Pogledajte proizvod na sajtu -&gt;")</f>
        <v> Pogledajte proizvod na sajtu -&gt;</v>
      </c>
    </row>
    <row r="16" spans="1:6" ht="12.75">
      <c r="A16" s="2">
        <v>15</v>
      </c>
      <c r="B16" t="s">
        <v>413</v>
      </c>
      <c r="C16" t="s">
        <v>414</v>
      </c>
      <c r="D16" s="2">
        <v>5</v>
      </c>
      <c r="E16" s="2">
        <v>150</v>
      </c>
      <c r="F16" s="3" t="str">
        <f>HYPERLINK("http://www.sah.co.rs/iha8030-302j-1000bz1-5-12f.html?___store=serbian"," Pogledajte proizvod na sajtu -&gt;")</f>
        <v> Pogledajte proizvod na sajtu -&gt;</v>
      </c>
    </row>
    <row r="17" spans="1:6" ht="12.75">
      <c r="A17" s="2">
        <v>16</v>
      </c>
      <c r="B17" t="s">
        <v>415</v>
      </c>
      <c r="C17" t="s">
        <v>416</v>
      </c>
      <c r="D17" s="2">
        <v>33</v>
      </c>
      <c r="E17" s="2">
        <v>60</v>
      </c>
      <c r="F17" s="3" t="str">
        <f>HYPERLINK("http://www.sah.co.rs/isc3806-003e-1000bz3-5-24f.html?___store=serbian"," Pogledajte proizvod na sajtu -&gt;")</f>
        <v> Pogledajte proizvod na sajtu -&gt;</v>
      </c>
    </row>
    <row r="18" spans="1:6" ht="12.75">
      <c r="A18" s="2">
        <v>17</v>
      </c>
      <c r="B18" t="s">
        <v>417</v>
      </c>
      <c r="C18" t="s">
        <v>416</v>
      </c>
      <c r="D18" s="2">
        <v>1</v>
      </c>
      <c r="E18" s="2">
        <v>90</v>
      </c>
      <c r="F18" s="3" t="str">
        <f>HYPERLINK("http://www.sah.co.rs/isn5806-001c-1000bz3-5-24f.html?___store=serbian"," Pogledajte proizvod na sajtu -&gt;")</f>
        <v> Pogledajte proizvod na sajtu -&gt;</v>
      </c>
    </row>
    <row r="19" spans="1:6" ht="12.75">
      <c r="A19" s="2">
        <v>18</v>
      </c>
      <c r="B19" t="s">
        <v>418</v>
      </c>
      <c r="C19" t="s">
        <v>416</v>
      </c>
      <c r="D19" s="2">
        <v>52</v>
      </c>
      <c r="E19" s="2">
        <v>100</v>
      </c>
      <c r="F19" s="3" t="str">
        <f>HYPERLINK("http://www.sah.co.rs/isc5810-001c-1000bz1-5-24f.html?___store=serbian"," Pogledajte proizvod na sajtu -&gt;")</f>
        <v> Pogledajte proizvod na sajtu -&gt;</v>
      </c>
    </row>
    <row r="20" spans="1:6" ht="12.75">
      <c r="A20" s="2">
        <v>19</v>
      </c>
      <c r="B20" t="s">
        <v>419</v>
      </c>
      <c r="C20" t="s">
        <v>420</v>
      </c>
      <c r="D20" s="2">
        <v>11</v>
      </c>
      <c r="E20" s="2">
        <v>60</v>
      </c>
      <c r="F20" s="3" t="str">
        <f>HYPERLINK("http://www.sah.co.rs/hy38a6-p4ar-1000.html?___store=serbian"," Pogledajte proizvod na sajtu -&gt;")</f>
        <v> Pogledajte proizvod na sajtu -&gt;</v>
      </c>
    </row>
    <row r="21" spans="1:6" ht="12.75">
      <c r="A21" s="2">
        <v>20</v>
      </c>
      <c r="B21" t="s">
        <v>421</v>
      </c>
      <c r="C21" t="s">
        <v>422</v>
      </c>
      <c r="D21" s="2">
        <v>11</v>
      </c>
      <c r="E21" s="2">
        <v>100</v>
      </c>
      <c r="F21" s="3" t="str">
        <f>HYPERLINK("http://www.sah.co.rs/isc5810-001c-1024bz1-5-24f.html?___store=serbian"," Pogledajte proizvod na sajtu -&gt;")</f>
        <v> Pogledajte proizvod na sajtu -&gt;</v>
      </c>
    </row>
    <row r="22" spans="1:6" ht="12.75">
      <c r="A22" s="2">
        <v>21</v>
      </c>
      <c r="B22" t="s">
        <v>423</v>
      </c>
      <c r="C22" t="s">
        <v>424</v>
      </c>
      <c r="D22" s="2">
        <v>0</v>
      </c>
      <c r="E22" s="2">
        <v>70</v>
      </c>
      <c r="F22" s="3" t="str">
        <f>HYPERLINK("http://www.sah.co.rs/isc3806-003e-1500bz3-5-24f.html?___store=serbian"," Pogledajte proizvod na sajtu -&gt;")</f>
        <v> Pogledajte proizvod na sajtu -&gt;</v>
      </c>
    </row>
    <row r="23" spans="1:6" ht="12.75">
      <c r="A23" s="2">
        <v>22</v>
      </c>
      <c r="B23" t="s">
        <v>425</v>
      </c>
      <c r="C23" t="s">
        <v>424</v>
      </c>
      <c r="D23" s="2">
        <v>9</v>
      </c>
      <c r="E23" s="2">
        <v>90</v>
      </c>
      <c r="F23" s="3" t="str">
        <f>HYPERLINK("http://www.sah.co.rs/isn5806-001c-1500bz3-5-24f.html?___store=serbian"," Pogledajte proizvod na sajtu -&gt;")</f>
        <v> Pogledajte proizvod na sajtu -&gt;</v>
      </c>
    </row>
    <row r="24" spans="1:6" ht="12.75">
      <c r="A24" s="2">
        <v>23</v>
      </c>
      <c r="B24" t="s">
        <v>426</v>
      </c>
      <c r="C24" t="s">
        <v>424</v>
      </c>
      <c r="D24" s="2">
        <v>0</v>
      </c>
      <c r="E24" s="2">
        <v>100</v>
      </c>
      <c r="F24" s="3" t="str">
        <f>HYPERLINK("http://www.sah.co.rs/isc5810-001c-1500bz1-5-24f.html?___store=serbian"," Pogledajte proizvod na sajtu -&gt;")</f>
        <v> Pogledajte proizvod na sajtu -&gt;</v>
      </c>
    </row>
    <row r="25" spans="1:6" ht="12.75">
      <c r="A25" s="2">
        <v>24</v>
      </c>
      <c r="B25" t="s">
        <v>427</v>
      </c>
      <c r="C25" t="s">
        <v>428</v>
      </c>
      <c r="D25" s="2">
        <v>17</v>
      </c>
      <c r="E25" s="2">
        <v>40</v>
      </c>
      <c r="F25" s="3" t="str">
        <f>HYPERLINK("http://www.sah.co.rs/dhc40m6-200.html?___store=serbian"," Pogledajte proizvod na sajtu -&gt;")</f>
        <v> Pogledajte proizvod na sajtu -&gt;</v>
      </c>
    </row>
    <row r="26" spans="1:6" ht="12.75">
      <c r="A26" s="2">
        <v>25</v>
      </c>
      <c r="B26" t="s">
        <v>429</v>
      </c>
      <c r="C26" t="s">
        <v>430</v>
      </c>
      <c r="D26" s="2">
        <v>9</v>
      </c>
      <c r="E26" s="2">
        <v>90</v>
      </c>
      <c r="F26" s="3" t="str">
        <f>HYPERLINK("http://www.sah.co.rs/isc5810-001c-200bz1-5-24f.html?___store=serbian"," Pogledajte proizvod na sajtu -&gt;")</f>
        <v> Pogledajte proizvod na sajtu -&gt;</v>
      </c>
    </row>
    <row r="27" spans="1:6" ht="12.75">
      <c r="A27" s="2">
        <v>26</v>
      </c>
      <c r="B27" t="s">
        <v>431</v>
      </c>
      <c r="C27" t="s">
        <v>430</v>
      </c>
      <c r="D27" s="2">
        <v>10</v>
      </c>
      <c r="E27" s="2">
        <v>60</v>
      </c>
      <c r="F27" s="3" t="str">
        <f>HYPERLINK("http://www.sah.co.rs/isc3806-003e-200bz3-5-24f.html?___store=serbian"," Pogledajte proizvod na sajtu -&gt;")</f>
        <v> Pogledajte proizvod na sajtu -&gt;</v>
      </c>
    </row>
    <row r="28" spans="1:6" ht="12.75">
      <c r="A28" s="2">
        <v>27</v>
      </c>
      <c r="B28" t="s">
        <v>432</v>
      </c>
      <c r="C28" t="s">
        <v>430</v>
      </c>
      <c r="D28" s="2">
        <v>0</v>
      </c>
      <c r="E28" s="2">
        <v>90</v>
      </c>
      <c r="F28" s="3" t="str">
        <f>HYPERLINK("http://www.sah.co.rs/isn5806-001c-200bz3-5-24f.html?___store=serbian"," Pogledajte proizvod na sajtu -&gt;")</f>
        <v> Pogledajte proizvod na sajtu -&gt;</v>
      </c>
    </row>
    <row r="29" spans="1:6" ht="12.75">
      <c r="A29" s="2">
        <v>28</v>
      </c>
      <c r="B29" t="s">
        <v>433</v>
      </c>
      <c r="C29" t="s">
        <v>434</v>
      </c>
      <c r="D29" s="2">
        <v>22</v>
      </c>
      <c r="E29" s="2">
        <v>60</v>
      </c>
      <c r="F29" s="3" t="str">
        <f>HYPERLINK("http://www.sah.co.rs/hy38a6-p4ar-200.html?___store=serbian"," Pogledajte proizvod na sajtu -&gt;")</f>
        <v> Pogledajte proizvod na sajtu -&gt;</v>
      </c>
    </row>
    <row r="30" spans="1:6" ht="12.75">
      <c r="A30" s="2">
        <v>29</v>
      </c>
      <c r="B30" t="s">
        <v>435</v>
      </c>
      <c r="C30" t="s">
        <v>436</v>
      </c>
      <c r="D30" s="2">
        <v>26</v>
      </c>
      <c r="E30" s="2">
        <v>45</v>
      </c>
      <c r="F30" s="3" t="str">
        <f>HYPERLINK("http://www.sah.co.rs/dhc40m6-2000.html?___store=serbian"," Pogledajte proizvod na sajtu -&gt;")</f>
        <v> Pogledajte proizvod na sajtu -&gt;</v>
      </c>
    </row>
    <row r="31" spans="1:6" ht="12.75">
      <c r="A31" s="2">
        <v>30</v>
      </c>
      <c r="B31" t="s">
        <v>437</v>
      </c>
      <c r="C31" t="s">
        <v>438</v>
      </c>
      <c r="D31" s="2">
        <v>5</v>
      </c>
      <c r="E31" s="2">
        <v>100</v>
      </c>
      <c r="F31" s="3" t="str">
        <f>HYPERLINK("http://www.sah.co.rs/isa5208-001g2000bz1-12-24f.html?___store=serbian"," Pogledajte proizvod na sajtu -&gt;")</f>
        <v> Pogledajte proizvod na sajtu -&gt;</v>
      </c>
    </row>
    <row r="32" spans="1:6" ht="12.75">
      <c r="A32" s="2">
        <v>31</v>
      </c>
      <c r="B32" t="s">
        <v>439</v>
      </c>
      <c r="C32" t="s">
        <v>440</v>
      </c>
      <c r="D32" s="2">
        <v>0</v>
      </c>
      <c r="E32" s="2">
        <v>100</v>
      </c>
      <c r="F32" s="3" t="str">
        <f>HYPERLINK("http://www.sah.co.rs/isn5806-001c-2000bz3-5-24f.html?___store=serbian"," Pogledajte proizvod na sajtu -&gt;")</f>
        <v> Pogledajte proizvod na sajtu -&gt;</v>
      </c>
    </row>
    <row r="33" spans="1:6" ht="12.75">
      <c r="A33" s="2">
        <v>32</v>
      </c>
      <c r="B33" t="s">
        <v>441</v>
      </c>
      <c r="C33" t="s">
        <v>440</v>
      </c>
      <c r="D33" s="2">
        <v>34</v>
      </c>
      <c r="E33" s="2">
        <v>100</v>
      </c>
      <c r="F33" s="3" t="str">
        <f>HYPERLINK("http://www.sah.co.rs/isc5810-001c-2000bz1-5-24f.html?___store=serbian"," Pogledajte proizvod na sajtu -&gt;")</f>
        <v> Pogledajte proizvod na sajtu -&gt;</v>
      </c>
    </row>
    <row r="34" spans="1:6" ht="12.75">
      <c r="A34" s="2">
        <v>33</v>
      </c>
      <c r="B34" t="s">
        <v>442</v>
      </c>
      <c r="C34" t="s">
        <v>443</v>
      </c>
      <c r="D34" s="2">
        <v>16</v>
      </c>
      <c r="E34" s="2">
        <v>110</v>
      </c>
      <c r="F34" s="3" t="str">
        <f>HYPERLINK("http://www.sah.co.rs/hy58a10-p4ar-2000w.html?___store=serbian"," Pogledajte proizvod na sajtu -&gt;")</f>
        <v> Pogledajte proizvod na sajtu -&gt;</v>
      </c>
    </row>
    <row r="35" spans="1:6" ht="12.75">
      <c r="A35" s="2">
        <v>34</v>
      </c>
      <c r="B35" t="s">
        <v>444</v>
      </c>
      <c r="C35" t="s">
        <v>443</v>
      </c>
      <c r="D35" s="2">
        <v>24</v>
      </c>
      <c r="E35" s="2">
        <v>70</v>
      </c>
      <c r="F35" s="3" t="str">
        <f>HYPERLINK("http://www.sah.co.rs/hy38a6-p4ar-2000.html?___store=serbian"," Pogledajte proizvod na sajtu -&gt;")</f>
        <v> Pogledajte proizvod na sajtu -&gt;</v>
      </c>
    </row>
    <row r="36" spans="1:6" ht="12.75">
      <c r="A36" s="2">
        <v>35</v>
      </c>
      <c r="B36" t="s">
        <v>445</v>
      </c>
      <c r="C36" t="s">
        <v>446</v>
      </c>
      <c r="D36" s="2">
        <v>6</v>
      </c>
      <c r="E36" s="2">
        <v>90</v>
      </c>
      <c r="F36" s="3" t="str">
        <f>HYPERLINK("http://www.sah.co.rs/isc5810-001c-250bz1-5-24f.html?___store=serbian"," Pogledajte proizvod na sajtu -&gt;")</f>
        <v> Pogledajte proizvod na sajtu -&gt;</v>
      </c>
    </row>
    <row r="37" spans="1:6" ht="12.75">
      <c r="A37" s="2">
        <v>36</v>
      </c>
      <c r="B37" t="s">
        <v>447</v>
      </c>
      <c r="C37" t="s">
        <v>446</v>
      </c>
      <c r="D37" s="2">
        <v>10</v>
      </c>
      <c r="E37" s="2">
        <v>90</v>
      </c>
      <c r="F37" s="3" t="str">
        <f>HYPERLINK("http://www.sah.co.rs/isn5806-001c-250bz3-5-24f.html?___store=serbian"," Pogledajte proizvod na sajtu -&gt;")</f>
        <v> Pogledajte proizvod na sajtu -&gt;</v>
      </c>
    </row>
    <row r="38" spans="1:6" ht="12.75">
      <c r="A38" s="2">
        <v>37</v>
      </c>
      <c r="B38" t="s">
        <v>448</v>
      </c>
      <c r="C38" t="s">
        <v>446</v>
      </c>
      <c r="D38" s="2">
        <v>16</v>
      </c>
      <c r="E38" s="2">
        <v>60</v>
      </c>
      <c r="F38" s="3" t="str">
        <f>HYPERLINK("http://www.sah.co.rs/isc3806-003e-250bz3-5-24f.html?___store=serbian"," Pogledajte proizvod na sajtu -&gt;")</f>
        <v> Pogledajte proizvod na sajtu -&gt;</v>
      </c>
    </row>
    <row r="39" spans="1:6" ht="12.75">
      <c r="A39" s="2">
        <v>38</v>
      </c>
      <c r="B39" t="s">
        <v>449</v>
      </c>
      <c r="C39" t="s">
        <v>450</v>
      </c>
      <c r="D39" s="2">
        <v>14</v>
      </c>
      <c r="E39" s="2">
        <v>60</v>
      </c>
      <c r="F39" s="3" t="str">
        <f>HYPERLINK("http://www.sah.co.rs/hy38a6-p4ar-250.html?___store=serbian"," Pogledajte proizvod na sajtu -&gt;")</f>
        <v> Pogledajte proizvod na sajtu -&gt;</v>
      </c>
    </row>
    <row r="40" spans="1:6" ht="12.75">
      <c r="A40" s="2">
        <v>39</v>
      </c>
      <c r="B40" t="s">
        <v>451</v>
      </c>
      <c r="C40" t="s">
        <v>452</v>
      </c>
      <c r="D40" s="2">
        <v>6</v>
      </c>
      <c r="E40" s="2">
        <v>110</v>
      </c>
      <c r="F40" s="3" t="str">
        <f>HYPERLINK("http://www.sah.co.rs/isc5810-001c-2500bz1-5-24f.html?___store=serbian"," Pogledajte proizvod na sajtu -&gt;")</f>
        <v> Pogledajte proizvod na sajtu -&gt;</v>
      </c>
    </row>
    <row r="41" spans="1:6" ht="12.75">
      <c r="A41" s="2">
        <v>40</v>
      </c>
      <c r="B41" t="s">
        <v>453</v>
      </c>
      <c r="C41" t="s">
        <v>454</v>
      </c>
      <c r="D41" s="2">
        <v>13</v>
      </c>
      <c r="E41" s="2">
        <v>40</v>
      </c>
      <c r="F41" s="3" t="str">
        <f>HYPERLINK("http://www.sah.co.rs/dhc40m6-360.html?___store=serbian"," Pogledajte proizvod na sajtu -&gt;")</f>
        <v> Pogledajte proizvod na sajtu -&gt;</v>
      </c>
    </row>
    <row r="42" spans="1:6" ht="12.75">
      <c r="A42" s="2">
        <v>41</v>
      </c>
      <c r="B42" t="s">
        <v>455</v>
      </c>
      <c r="C42" t="s">
        <v>456</v>
      </c>
      <c r="D42" s="2">
        <v>9</v>
      </c>
      <c r="E42" s="2">
        <v>90</v>
      </c>
      <c r="F42" s="3" t="str">
        <f>HYPERLINK("http://www.sah.co.rs/isn5806-001c-360bz3-5-24f.html?___store=serbian"," Pogledajte proizvod na sajtu -&gt;")</f>
        <v> Pogledajte proizvod na sajtu -&gt;</v>
      </c>
    </row>
    <row r="43" spans="1:6" ht="12.75">
      <c r="A43" s="2">
        <v>42</v>
      </c>
      <c r="B43" t="s">
        <v>457</v>
      </c>
      <c r="C43" t="s">
        <v>456</v>
      </c>
      <c r="D43" s="2">
        <v>25</v>
      </c>
      <c r="E43" s="2">
        <v>60</v>
      </c>
      <c r="F43" s="3" t="str">
        <f>HYPERLINK("http://www.sah.co.rs/isc3806-003e-360bz3-5-24f.html?___store=serbian"," Pogledajte proizvod na sajtu -&gt;")</f>
        <v> Pogledajte proizvod na sajtu -&gt;</v>
      </c>
    </row>
    <row r="44" spans="1:6" ht="12.75">
      <c r="A44" s="2">
        <v>43</v>
      </c>
      <c r="B44" t="s">
        <v>458</v>
      </c>
      <c r="C44" t="s">
        <v>456</v>
      </c>
      <c r="D44" s="2">
        <v>22</v>
      </c>
      <c r="E44" s="2">
        <v>90</v>
      </c>
      <c r="F44" s="3" t="str">
        <f>HYPERLINK("http://www.sah.co.rs/isc5810-001c-360bz1-5-24f.html?___store=serbian"," Pogledajte proizvod na sajtu -&gt;")</f>
        <v> Pogledajte proizvod na sajtu -&gt;</v>
      </c>
    </row>
    <row r="45" spans="1:6" ht="12.75">
      <c r="A45" s="2">
        <v>44</v>
      </c>
      <c r="B45" t="s">
        <v>459</v>
      </c>
      <c r="C45" t="s">
        <v>460</v>
      </c>
      <c r="D45" s="2">
        <v>12</v>
      </c>
      <c r="E45" s="2">
        <v>60</v>
      </c>
      <c r="F45" s="3" t="str">
        <f>HYPERLINK("http://www.sah.co.rs/hy38a6-p4ar-360.html?___store=serbian"," Pogledajte proizvod na sajtu -&gt;")</f>
        <v> Pogledajte proizvod na sajtu -&gt;</v>
      </c>
    </row>
    <row r="46" spans="1:6" ht="12.75">
      <c r="A46" s="2">
        <v>45</v>
      </c>
      <c r="B46" t="s">
        <v>461</v>
      </c>
      <c r="C46" t="s">
        <v>460</v>
      </c>
      <c r="D46" s="2">
        <v>10</v>
      </c>
      <c r="E46" s="2">
        <v>110</v>
      </c>
      <c r="F46" s="3" t="str">
        <f>HYPERLINK("http://www.sah.co.rs/hy58a10-p4ar-360c.html?___store=serbian"," Pogledajte proizvod na sajtu -&gt;")</f>
        <v> Pogledajte proizvod na sajtu -&gt;</v>
      </c>
    </row>
    <row r="47" spans="1:6" ht="12.75">
      <c r="A47" s="2">
        <v>46</v>
      </c>
      <c r="B47" t="s">
        <v>462</v>
      </c>
      <c r="C47" t="s">
        <v>463</v>
      </c>
      <c r="D47" s="2">
        <v>6</v>
      </c>
      <c r="E47" s="2">
        <v>120</v>
      </c>
      <c r="F47" s="3" t="str">
        <f>HYPERLINK("http://www.sah.co.rs/isc5810-001c-3600bz1-5-24f.html?___store=serbian"," Pogledajte proizvod na sajtu -&gt;")</f>
        <v> Pogledajte proizvod na sajtu -&gt;</v>
      </c>
    </row>
    <row r="48" spans="1:6" ht="12.75">
      <c r="A48" s="2">
        <v>47</v>
      </c>
      <c r="B48" t="s">
        <v>464</v>
      </c>
      <c r="C48" t="s">
        <v>465</v>
      </c>
      <c r="D48" s="2">
        <v>13</v>
      </c>
      <c r="E48" s="2">
        <v>120</v>
      </c>
      <c r="F48" s="3" t="str">
        <f>HYPERLINK("http://www.sah.co.rs/hy58a10-p4ar-3600w.html?___store=serbian"," Pogledajte proizvod na sajtu -&gt;")</f>
        <v> Pogledajte proizvod na sajtu -&gt;</v>
      </c>
    </row>
    <row r="49" spans="1:6" ht="12.75">
      <c r="A49" s="2">
        <v>48</v>
      </c>
      <c r="B49" t="s">
        <v>466</v>
      </c>
      <c r="C49" t="s">
        <v>465</v>
      </c>
      <c r="D49" s="2">
        <v>0</v>
      </c>
      <c r="E49" s="2">
        <v>70</v>
      </c>
      <c r="F49" s="3" t="str">
        <f>HYPERLINK("http://www.sah.co.rs/hy38a8-p4ar-3600.html?___store=serbian"," Pogledajte proizvod na sajtu -&gt;")</f>
        <v> Pogledajte proizvod na sajtu -&gt;</v>
      </c>
    </row>
    <row r="50" spans="1:6" ht="12.75">
      <c r="A50" s="2">
        <v>49</v>
      </c>
      <c r="B50" t="s">
        <v>467</v>
      </c>
      <c r="C50" t="s">
        <v>465</v>
      </c>
      <c r="D50" s="2">
        <v>0</v>
      </c>
      <c r="E50" s="2">
        <v>70</v>
      </c>
      <c r="F50" s="3" t="str">
        <f>HYPERLINK("http://www.sah.co.rs/hy38a6-p4ar-3600.html?___store=serbian"," Pogledajte proizvod na sajtu -&gt;")</f>
        <v> Pogledajte proizvod na sajtu -&gt;</v>
      </c>
    </row>
    <row r="51" spans="1:6" ht="12.75">
      <c r="A51" s="2">
        <v>50</v>
      </c>
      <c r="B51" t="s">
        <v>468</v>
      </c>
      <c r="C51" t="s">
        <v>469</v>
      </c>
      <c r="D51" s="2">
        <v>11</v>
      </c>
      <c r="E51" s="2">
        <v>60</v>
      </c>
      <c r="F51" s="3" t="str">
        <f>HYPERLINK("http://www.sah.co.rs/isc3806-003e-50bz3-5-24f.html?___store=serbian"," Pogledajte proizvod na sajtu -&gt;")</f>
        <v> Pogledajte proizvod na sajtu -&gt;</v>
      </c>
    </row>
    <row r="52" spans="1:6" ht="12.75">
      <c r="A52" s="2">
        <v>51</v>
      </c>
      <c r="B52" t="s">
        <v>470</v>
      </c>
      <c r="C52" t="s">
        <v>471</v>
      </c>
      <c r="D52" s="2">
        <v>0</v>
      </c>
      <c r="E52" s="2">
        <v>60</v>
      </c>
      <c r="F52" s="3" t="str">
        <f>HYPERLINK("http://www.sah.co.rs/hy38a6-p4ar-50.html?___store=serbian"," Pogledajte proizvod na sajtu -&gt;")</f>
        <v> Pogledajte proizvod na sajtu -&gt;</v>
      </c>
    </row>
    <row r="53" spans="1:6" ht="12.75">
      <c r="A53" s="2">
        <v>52</v>
      </c>
      <c r="B53" t="s">
        <v>472</v>
      </c>
      <c r="C53" t="s">
        <v>473</v>
      </c>
      <c r="D53" s="2">
        <v>92</v>
      </c>
      <c r="E53" s="2">
        <v>40</v>
      </c>
      <c r="F53" s="3" t="str">
        <f>HYPERLINK("http://www.sah.co.rs/dhc40m6-500.html?___store=serbian"," Pogledajte proizvod na sajtu -&gt;")</f>
        <v> Pogledajte proizvod na sajtu -&gt;</v>
      </c>
    </row>
    <row r="54" spans="1:6" ht="12.75">
      <c r="A54" s="2">
        <v>53</v>
      </c>
      <c r="B54" t="s">
        <v>474</v>
      </c>
      <c r="C54" t="s">
        <v>475</v>
      </c>
      <c r="D54" s="2">
        <v>9</v>
      </c>
      <c r="E54" s="2">
        <v>78.2</v>
      </c>
      <c r="F54" s="3" t="str">
        <f>HYPERLINK("http://www.sah.co.rs/isc6005-h01c-500bz3-12-24f.html?___store=serbian"," Pogledajte proizvod na sajtu -&gt;")</f>
        <v> Pogledajte proizvod na sajtu -&gt;</v>
      </c>
    </row>
    <row r="55" spans="1:6" ht="12.75">
      <c r="A55" s="2">
        <v>54</v>
      </c>
      <c r="B55" t="s">
        <v>476</v>
      </c>
      <c r="C55" t="s">
        <v>477</v>
      </c>
      <c r="D55" s="2">
        <v>25</v>
      </c>
      <c r="E55" s="2">
        <v>90</v>
      </c>
      <c r="F55" s="3" t="str">
        <f>HYPERLINK("http://www.sah.co.rs/isc5810-001c-500bz1-5-24f.html?___store=serbian"," Pogledajte proizvod na sajtu -&gt;")</f>
        <v> Pogledajte proizvod na sajtu -&gt;</v>
      </c>
    </row>
    <row r="56" spans="1:6" ht="12.75">
      <c r="A56" s="2">
        <v>55</v>
      </c>
      <c r="B56" t="s">
        <v>478</v>
      </c>
      <c r="C56" t="s">
        <v>477</v>
      </c>
      <c r="D56" s="2">
        <v>0</v>
      </c>
      <c r="E56" s="2">
        <v>90</v>
      </c>
      <c r="F56" s="3" t="str">
        <f>HYPERLINK("http://www.sah.co.rs/isn5806-001c-500bz3-5-24f.html?___store=serbian"," Pogledajte proizvod na sajtu -&gt;")</f>
        <v> Pogledajte proizvod na sajtu -&gt;</v>
      </c>
    </row>
    <row r="57" spans="1:6" ht="12.75">
      <c r="A57" s="2">
        <v>56</v>
      </c>
      <c r="B57" t="s">
        <v>479</v>
      </c>
      <c r="C57" t="s">
        <v>477</v>
      </c>
      <c r="D57" s="2">
        <v>11</v>
      </c>
      <c r="E57" s="2">
        <v>60</v>
      </c>
      <c r="F57" s="3" t="str">
        <f>HYPERLINK("http://www.sah.co.rs/isc3806-003e-500bz3-5-24f.html?___store=serbian"," Pogledajte proizvod na sajtu -&gt;")</f>
        <v> Pogledajte proizvod na sajtu -&gt;</v>
      </c>
    </row>
    <row r="58" spans="1:6" ht="12.75">
      <c r="A58" s="2">
        <v>57</v>
      </c>
      <c r="B58" t="s">
        <v>480</v>
      </c>
      <c r="C58" t="s">
        <v>481</v>
      </c>
      <c r="D58" s="2">
        <v>29</v>
      </c>
      <c r="E58" s="2">
        <v>60</v>
      </c>
      <c r="F58" s="3" t="str">
        <f>HYPERLINK("http://www.sah.co.rs/hy38a6-p4ar-500.html?___store=serbian"," Pogledajte proizvod na sajtu -&gt;")</f>
        <v> Pogledajte proizvod na sajtu -&gt;</v>
      </c>
    </row>
    <row r="59" spans="1:6" ht="12.75">
      <c r="A59" s="2">
        <v>58</v>
      </c>
      <c r="B59" t="s">
        <v>482</v>
      </c>
      <c r="C59" t="s">
        <v>481</v>
      </c>
      <c r="D59" s="2">
        <v>3</v>
      </c>
      <c r="E59" s="2">
        <v>105</v>
      </c>
      <c r="F59" s="3" t="str">
        <f>HYPERLINK("http://www.sah.co.rs/hy58a10-p4ar-500w.html?___store=serbian"," Pogledajte proizvod na sajtu -&gt;")</f>
        <v> Pogledajte proizvod na sajtu -&gt;</v>
      </c>
    </row>
    <row r="60" spans="1:6" ht="12.75">
      <c r="A60" s="2">
        <v>59</v>
      </c>
      <c r="B60" t="s">
        <v>483</v>
      </c>
      <c r="C60" t="s">
        <v>481</v>
      </c>
      <c r="D60" s="2">
        <v>7</v>
      </c>
      <c r="E60" s="2">
        <v>110</v>
      </c>
      <c r="F60" s="3" t="str">
        <f>HYPERLINK("http://www.sah.co.rs/hy58a10-p4ar-500c.html?___store=serbian"," Pogledajte proizvod na sajtu -&gt;")</f>
        <v> Pogledajte proizvod na sajtu -&gt;</v>
      </c>
    </row>
    <row r="61" spans="1:6" ht="12.75">
      <c r="A61" s="2">
        <v>60</v>
      </c>
      <c r="B61" t="s">
        <v>484</v>
      </c>
      <c r="C61" t="s">
        <v>485</v>
      </c>
      <c r="D61" s="2">
        <v>0</v>
      </c>
      <c r="E61" s="2">
        <v>90</v>
      </c>
      <c r="F61" s="3" t="str">
        <f>HYPERLINK("http://www.sah.co.rs/isc5810-001c-512bz1-5-24f.html?___store=serbian"," Pogledajte proizvod na sajtu -&gt;")</f>
        <v> Pogledajte proizvod na sajtu -&gt;</v>
      </c>
    </row>
    <row r="62" spans="1:6" ht="12.75">
      <c r="A62" s="2">
        <v>61</v>
      </c>
      <c r="B62" t="s">
        <v>486</v>
      </c>
      <c r="C62" t="s">
        <v>487</v>
      </c>
      <c r="D62" s="2">
        <v>1</v>
      </c>
      <c r="E62" s="2">
        <v>180</v>
      </c>
      <c r="F62" s="3" t="str">
        <f>HYPERLINK("http://www.sah.co.rs/ismm2080-001-100b-5l.html?___store=serbian","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9.140625" style="0" customWidth="1"/>
    <col min="3" max="3" width="59.003906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488</v>
      </c>
      <c r="C2" t="s">
        <v>489</v>
      </c>
      <c r="D2" s="2">
        <v>13</v>
      </c>
      <c r="E2" s="2">
        <v>13</v>
      </c>
      <c r="F2" s="3" t="str">
        <f>HYPERLINK("http://www.sah.co.rs/dhc2x-t.html?___store=serbian"," Pogledajte proizvod na sajtu -&gt;")</f>
        <v> Pogledajte proizvod na sajtu -&gt;</v>
      </c>
    </row>
    <row r="3" spans="1:6" ht="12.75">
      <c r="A3" s="2">
        <v>2</v>
      </c>
      <c r="B3" t="s">
        <v>490</v>
      </c>
      <c r="C3" t="s">
        <v>491</v>
      </c>
      <c r="D3" s="2">
        <v>0</v>
      </c>
      <c r="E3" s="2">
        <v>11</v>
      </c>
      <c r="F3" s="3" t="str">
        <f>HYPERLINK("http://www.sah.co.rs/rstb.html?___store=serbian"," Pogledajte proizvod na sajtu -&gt;")</f>
        <v> Pogledajte proizvod na sajtu -&gt;</v>
      </c>
    </row>
    <row r="4" spans="1:6" ht="12.75">
      <c r="A4" s="2">
        <v>3</v>
      </c>
      <c r="B4" t="s">
        <v>492</v>
      </c>
      <c r="C4" t="s">
        <v>493</v>
      </c>
      <c r="D4" s="2">
        <v>46</v>
      </c>
      <c r="E4" s="2">
        <v>11</v>
      </c>
      <c r="F4" s="3" t="str">
        <f>HYPERLINK("http://www.sah.co.rs/as-cp1.html?___store=serbian","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9.57421875" style="0" customWidth="1"/>
    <col min="3" max="3" width="42.1406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494</v>
      </c>
      <c r="C2" t="s">
        <v>495</v>
      </c>
      <c r="D2" s="2">
        <v>96</v>
      </c>
      <c r="E2" s="2">
        <v>5</v>
      </c>
      <c r="F2" s="3" t="str">
        <f>HYPERLINK("http://www.sah.co.rs/b9-20a.html?___store=serbian"," Pogledajte proizvod na sajtu -&gt;")</f>
        <v> Pogledajte proizvod na sajtu -&gt;</v>
      </c>
    </row>
    <row r="3" spans="1:6" ht="12.75">
      <c r="A3" s="2">
        <v>2</v>
      </c>
      <c r="B3" t="s">
        <v>496</v>
      </c>
      <c r="C3" t="s">
        <v>497</v>
      </c>
      <c r="D3" s="2">
        <v>40</v>
      </c>
      <c r="E3" s="2">
        <v>24</v>
      </c>
      <c r="F3" s="3" t="str">
        <f>HYPERLINK("http://www.sah.co.rs/d11-100a.html?___store=serbian"," Pogledajte proizvod na sajtu -&gt;")</f>
        <v> Pogledajte proizvod na sajtu -&gt;</v>
      </c>
    </row>
    <row r="4" spans="1:6" ht="12.75">
      <c r="A4" s="2">
        <v>3</v>
      </c>
      <c r="B4" t="s">
        <v>498</v>
      </c>
      <c r="C4" t="s">
        <v>499</v>
      </c>
      <c r="D4" s="2">
        <v>34</v>
      </c>
      <c r="E4" s="2">
        <v>20</v>
      </c>
      <c r="F4" s="3" t="str">
        <f>HYPERLINK("http://www.sah.co.rs/siso-32.html?___store=serbian"," Pogledajte proizvod na sajtu -&gt;")</f>
        <v> Pogledajte proizvod na sajtu -&gt;</v>
      </c>
    </row>
    <row r="5" spans="1:6" ht="12.75">
      <c r="A5" s="2">
        <v>4</v>
      </c>
      <c r="B5" t="s">
        <v>500</v>
      </c>
      <c r="C5" t="s">
        <v>501</v>
      </c>
      <c r="D5" s="2">
        <v>149</v>
      </c>
      <c r="E5" s="2">
        <v>8</v>
      </c>
      <c r="F5" s="3" t="str">
        <f>HYPERLINK("http://www.sah.co.rs/h13-20a.html?___store=serbian"," Pogledajte proizvod na sajtu -&gt;")</f>
        <v> Pogledajte proizvod na sajtu -&gt;</v>
      </c>
    </row>
    <row r="6" spans="1:6" ht="12.75">
      <c r="A6" s="2">
        <v>5</v>
      </c>
      <c r="B6" t="s">
        <v>502</v>
      </c>
      <c r="C6" t="s">
        <v>503</v>
      </c>
      <c r="D6" s="2">
        <v>193</v>
      </c>
      <c r="E6" s="2">
        <v>9</v>
      </c>
      <c r="F6" s="3" t="str">
        <f>HYPERLINK("http://www.sah.co.rs/hz12-25a.html?___store=serbian"," Pogledajte proizvod na sajtu -&gt;")</f>
        <v> Pogledajte proizvod na sajtu -&gt;</v>
      </c>
    </row>
    <row r="7" spans="1:6" ht="12.75">
      <c r="A7" s="2">
        <v>6</v>
      </c>
      <c r="B7" t="s">
        <v>504</v>
      </c>
      <c r="C7" t="s">
        <v>505</v>
      </c>
      <c r="D7" s="2">
        <v>84</v>
      </c>
      <c r="E7" s="2">
        <v>10</v>
      </c>
      <c r="F7" s="3" t="str">
        <f>HYPERLINK("http://www.sah.co.rs/hz12-40a.html?___store=serbian"," Pogledajte proizvod na sajtu -&gt;")</f>
        <v> Pogledajte proizvod na sajtu -&gt;</v>
      </c>
    </row>
    <row r="8" spans="1:6" ht="12.75">
      <c r="A8" s="2">
        <v>7</v>
      </c>
      <c r="B8" t="s">
        <v>506</v>
      </c>
      <c r="C8" t="s">
        <v>507</v>
      </c>
      <c r="D8" s="2">
        <v>19</v>
      </c>
      <c r="E8" s="2">
        <v>20</v>
      </c>
      <c r="F8" s="3" t="str">
        <f>HYPERLINK("http://www.sah.co.rs/d11-63a.html?___store=serbian"," Pogledajte proizvod na sajtu -&gt;")</f>
        <v> Pogledajte proizvod na sajtu -&gt;</v>
      </c>
    </row>
    <row r="9" spans="1:6" ht="12.75">
      <c r="A9" s="2">
        <v>8</v>
      </c>
      <c r="B9" t="s">
        <v>508</v>
      </c>
      <c r="C9" t="s">
        <v>509</v>
      </c>
      <c r="D9" s="2">
        <v>34</v>
      </c>
      <c r="E9" s="2">
        <v>22</v>
      </c>
      <c r="F9" s="3" t="str">
        <f>HYPERLINK("http://www.sah.co.rs/d11-80a.html?___store=serbian","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29.140625" style="0" customWidth="1"/>
    <col min="3" max="3" width="48.003906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510</v>
      </c>
      <c r="C2" t="s">
        <v>511</v>
      </c>
      <c r="D2" s="2">
        <v>37</v>
      </c>
      <c r="E2" s="2">
        <v>250</v>
      </c>
      <c r="F2" s="3" t="str">
        <f>HYPERLINK("http://www.sah.co.rs/hb860h-86hb250-156bj.html?___store=serbian"," Pogledajte proizvod na sajtu -&gt;")</f>
        <v> Pogledajte proizvod na sajtu -&gt;</v>
      </c>
    </row>
    <row r="3" spans="1:6" ht="12.75">
      <c r="A3" s="2">
        <v>2</v>
      </c>
      <c r="B3" t="s">
        <v>512</v>
      </c>
      <c r="C3" t="s">
        <v>513</v>
      </c>
      <c r="D3" s="2">
        <v>6</v>
      </c>
      <c r="E3" s="2">
        <v>270</v>
      </c>
      <c r="F3" s="3" t="str">
        <f>HYPERLINK("http://www.sah.co.rs/hss86-86hse12n-bc38.html?___store=serbian"," Pogledajte proizvod na sajtu -&gt;")</f>
        <v> Pogledajte proizvod na sajtu -&gt;</v>
      </c>
    </row>
    <row r="4" spans="1:6" ht="12.75">
      <c r="A4" s="2">
        <v>3</v>
      </c>
      <c r="B4" t="s">
        <v>514</v>
      </c>
      <c r="C4" t="s">
        <v>515</v>
      </c>
      <c r="D4" s="2">
        <v>20</v>
      </c>
      <c r="E4" s="2">
        <v>150</v>
      </c>
      <c r="F4" s="3" t="str">
        <f>HYPERLINK("http://www.sah.co.rs/hb657h-57hb250-80bj.html?___store=serbian"," Pogledajte proizvod na sajtu -&gt;")</f>
        <v> Pogledajte proizvod na sajtu -&gt;</v>
      </c>
    </row>
    <row r="5" spans="1:6" ht="12.75">
      <c r="A5" s="2">
        <v>4</v>
      </c>
      <c r="B5" t="s">
        <v>516</v>
      </c>
      <c r="C5" t="s">
        <v>517</v>
      </c>
      <c r="D5" s="2">
        <v>2</v>
      </c>
      <c r="E5" s="2">
        <v>550</v>
      </c>
      <c r="F5" s="3" t="str">
        <f>HYPERLINK("http://www.sah.co.rs/3hss2208h-110j12190ec-1000.html?___store=serbian"," Pogledajte proizvod na sajtu -&gt;")</f>
        <v> Pogledajte proizvod na sajtu -&gt;</v>
      </c>
    </row>
    <row r="6" spans="1:6" ht="12.75">
      <c r="A6" s="2">
        <v>5</v>
      </c>
      <c r="B6" t="s">
        <v>518</v>
      </c>
      <c r="C6" t="s">
        <v>519</v>
      </c>
      <c r="D6" s="2">
        <v>7</v>
      </c>
      <c r="E6" s="2">
        <v>180</v>
      </c>
      <c r="F6" s="3" t="str">
        <f>HYPERLINK("http://www.sah.co.rs/hb860h-60hb250-112b.html?___store=serbian"," Pogledajte proizvod na sajtu -&gt;")</f>
        <v> Pogledajte proizvod na sajtu -&gt;</v>
      </c>
    </row>
    <row r="7" spans="1:6" ht="12.75">
      <c r="A7" s="2">
        <v>6</v>
      </c>
      <c r="B7" t="s">
        <v>520</v>
      </c>
      <c r="C7" t="s">
        <v>521</v>
      </c>
      <c r="D7" s="2">
        <v>61</v>
      </c>
      <c r="E7" s="2">
        <v>210</v>
      </c>
      <c r="F7" s="3" t="str">
        <f>HYPERLINK("http://www.sah.co.rs/hb860h-86hb250-118bj.html?___store=serbian","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8.28125" style="0" customWidth="1"/>
    <col min="3" max="3" width="35.003906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522</v>
      </c>
      <c r="C2" t="s">
        <v>523</v>
      </c>
      <c r="D2" s="2">
        <v>91</v>
      </c>
      <c r="E2" s="2">
        <v>25</v>
      </c>
      <c r="F2" s="3" t="str">
        <f>HYPERLINK("http://www.sah.co.rs/mfr012.html?___store=serbian","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6.28125" style="0" customWidth="1"/>
    <col min="3" max="3" width="65.574218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524</v>
      </c>
      <c r="C2" t="s">
        <v>525</v>
      </c>
      <c r="D2" s="2">
        <v>1041</v>
      </c>
      <c r="E2" s="2">
        <v>2.5</v>
      </c>
      <c r="F2" s="3" t="str">
        <f>HYPERLINK("http://www.sah.co.rs/a-30.html?___store=serbian"," Pogledajte proizvod na sajtu -&gt;")</f>
        <v> Pogledajte proizvod na sajtu -&gt;</v>
      </c>
    </row>
    <row r="3" spans="1:6" ht="12.75">
      <c r="A3" s="2">
        <v>2</v>
      </c>
      <c r="B3" t="s">
        <v>526</v>
      </c>
      <c r="C3" t="s">
        <v>527</v>
      </c>
      <c r="D3" s="2">
        <v>154</v>
      </c>
      <c r="E3" s="2">
        <v>7.5</v>
      </c>
      <c r="F3" s="3" t="str">
        <f>HYPERLINK("http://www.sah.co.rs/c-55.html?___store=serbian"," Pogledajte proizvod na sajtu -&gt;")</f>
        <v> Pogledajte proizvod na sajtu -&gt;</v>
      </c>
    </row>
    <row r="4" spans="1:6" ht="12.75">
      <c r="A4" s="2">
        <v>3</v>
      </c>
      <c r="B4" t="s">
        <v>528</v>
      </c>
      <c r="C4" t="s">
        <v>529</v>
      </c>
      <c r="D4" s="2">
        <v>105</v>
      </c>
      <c r="E4" s="2">
        <v>5</v>
      </c>
      <c r="F4" s="3" t="str">
        <f>HYPERLINK("http://www.sah.co.rs/b-40.html?___store=serbian"," Pogledajte proizvod na sajtu -&gt;")</f>
        <v> Pogledajte proizvod na sajtu -&gt;</v>
      </c>
    </row>
    <row r="5" spans="1:6" ht="12.75">
      <c r="A5" s="2">
        <v>4</v>
      </c>
      <c r="B5" t="s">
        <v>530</v>
      </c>
      <c r="C5" t="s">
        <v>531</v>
      </c>
      <c r="D5" s="2">
        <v>0</v>
      </c>
      <c r="E5" s="2">
        <v>5</v>
      </c>
      <c r="F5" s="3" t="str">
        <f>HYPERLINK("http://www.sah.co.rs/c-50.html?___store=serbian"," Pogledajte proizvod na sajtu -&gt;")</f>
        <v> Pogledajte proizvod na sajtu -&gt;</v>
      </c>
    </row>
    <row r="6" spans="1:6" ht="12.75">
      <c r="A6" s="2">
        <v>5</v>
      </c>
      <c r="B6" t="s">
        <v>532</v>
      </c>
      <c r="C6" t="s">
        <v>533</v>
      </c>
      <c r="D6" s="2">
        <v>224</v>
      </c>
      <c r="E6" s="2">
        <v>8</v>
      </c>
      <c r="F6" s="3" t="str">
        <f>HYPERLINK("http://www.sah.co.rs/c-80.html?___store=serbian"," Pogledajte proizvod na sajtu -&gt;")</f>
        <v> Pogledajte proizvod na sajtu -&gt;</v>
      </c>
    </row>
    <row r="7" spans="1:6" ht="12.75">
      <c r="A7" s="2">
        <v>6</v>
      </c>
      <c r="B7" t="s">
        <v>534</v>
      </c>
      <c r="C7" t="s">
        <v>535</v>
      </c>
      <c r="D7" s="2">
        <v>215</v>
      </c>
      <c r="E7" s="2">
        <v>7.5</v>
      </c>
      <c r="F7" s="3" t="str">
        <f>HYPERLINK("http://www.sah.co.rs/d-90.html?___store=serbian"," Pogledajte proizvod na sajtu -&gt;")</f>
        <v> Pogledajte proizvod na sajtu -&gt;</v>
      </c>
    </row>
    <row r="8" spans="1:6" ht="12.75">
      <c r="A8" s="2">
        <v>7</v>
      </c>
      <c r="B8" t="s">
        <v>536</v>
      </c>
      <c r="C8" t="s">
        <v>537</v>
      </c>
      <c r="D8" s="2">
        <v>898</v>
      </c>
      <c r="E8" s="2">
        <v>8</v>
      </c>
      <c r="F8" s="3" t="str">
        <f>HYPERLINK("http://www.sah.co.rs/e-105.html?___store=serbian"," Pogledajte proizvod na sajtu -&gt;")</f>
        <v> Pogledajte proizvod na sajtu -&gt;</v>
      </c>
    </row>
    <row r="9" spans="1:6" ht="12.75">
      <c r="A9" s="2">
        <v>8</v>
      </c>
      <c r="B9" t="s">
        <v>538</v>
      </c>
      <c r="C9" t="s">
        <v>539</v>
      </c>
      <c r="D9" s="2">
        <v>362</v>
      </c>
      <c r="E9" s="2">
        <v>10</v>
      </c>
      <c r="F9" s="3" t="str">
        <f>HYPERLINK("http://www.sah.co.rs/e-150.html?___store=serbian","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7.57421875" style="0" customWidth="1"/>
    <col min="3" max="3" width="49.281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540</v>
      </c>
      <c r="C2" t="s">
        <v>541</v>
      </c>
      <c r="D2" s="2">
        <v>120</v>
      </c>
      <c r="E2" s="2">
        <v>3</v>
      </c>
      <c r="F2" s="3" t="str">
        <f>HYPERLINK("http://www.sah.co.rs/t727-35a.html?___store=serbian"," Pogledajte proizvod na sajtu -&gt;")</f>
        <v> Pogledajte proizvod na sajtu -&gt;</v>
      </c>
    </row>
    <row r="3" spans="1:6" ht="12.75">
      <c r="A3" s="2">
        <v>2</v>
      </c>
      <c r="B3" t="s">
        <v>542</v>
      </c>
      <c r="C3" t="s">
        <v>543</v>
      </c>
      <c r="D3" s="2">
        <v>42</v>
      </c>
      <c r="E3" s="2">
        <v>9.5</v>
      </c>
      <c r="F3" s="3" t="str">
        <f>HYPERLINK("http://www.sah.co.rs/tp28-f-12e.html?___store=serbian"," Pogledajte proizvod na sajtu -&gt;")</f>
        <v> Pogledajte proizvod na sajtu -&gt;</v>
      </c>
    </row>
    <row r="4" spans="1:6" ht="12.75">
      <c r="A4" s="2">
        <v>3</v>
      </c>
      <c r="B4" t="s">
        <v>544</v>
      </c>
      <c r="C4" t="s">
        <v>545</v>
      </c>
      <c r="D4" s="2">
        <v>62</v>
      </c>
      <c r="E4" s="2">
        <v>10</v>
      </c>
      <c r="F4" s="3" t="str">
        <f>HYPERLINK("http://www.sah.co.rs/tp28-f-16e.html?___store=serbian"," Pogledajte proizvod na sajtu -&gt;")</f>
        <v> Pogledajte proizvod na sajtu -&gt;</v>
      </c>
    </row>
    <row r="5" spans="1:6" ht="12.75">
      <c r="A5" s="2">
        <v>4</v>
      </c>
      <c r="B5" t="s">
        <v>546</v>
      </c>
      <c r="C5" t="s">
        <v>547</v>
      </c>
      <c r="D5" s="2">
        <v>69</v>
      </c>
      <c r="E5" s="2">
        <v>6</v>
      </c>
      <c r="F5" s="3" t="str">
        <f>HYPERLINK("http://www.sah.co.rs/df25-2f.html?___store=serbian"," Pogledajte proizvod na sajtu -&gt;")</f>
        <v> Pogledajte proizvod na sajtu -&gt;</v>
      </c>
    </row>
    <row r="6" spans="1:6" ht="12.75">
      <c r="A6" s="2">
        <v>5</v>
      </c>
      <c r="B6" t="s">
        <v>548</v>
      </c>
      <c r="C6" t="s">
        <v>549</v>
      </c>
      <c r="D6" s="2">
        <v>66</v>
      </c>
      <c r="E6" s="2">
        <v>6</v>
      </c>
      <c r="F6" s="3" t="str">
        <f>HYPERLINK("http://www.sah.co.rs/df25-3f.html?___store=serbian"," Pogledajte proizvod na sajtu -&gt;")</f>
        <v> Pogledajte proizvod na sajtu -&gt;</v>
      </c>
    </row>
    <row r="7" spans="1:6" ht="12.75">
      <c r="A7" s="2">
        <v>6</v>
      </c>
      <c r="B7" t="s">
        <v>550</v>
      </c>
      <c r="C7" t="s">
        <v>551</v>
      </c>
      <c r="D7" s="2">
        <v>7</v>
      </c>
      <c r="E7" s="2">
        <v>4</v>
      </c>
      <c r="F7" s="3" t="str">
        <f>HYPERLINK("http://www.sah.co.rs/px-16-3p.html?___store=serbian"," Pogledajte proizvod na sajtu -&gt;")</f>
        <v> Pogledajte proizvod na sajtu -&gt;</v>
      </c>
    </row>
    <row r="8" spans="1:6" ht="12.75">
      <c r="A8" s="2">
        <v>7</v>
      </c>
      <c r="B8" t="s">
        <v>552</v>
      </c>
      <c r="C8" t="s">
        <v>553</v>
      </c>
      <c r="D8" s="2">
        <v>42</v>
      </c>
      <c r="E8" s="2">
        <v>7</v>
      </c>
      <c r="F8" s="3" t="str">
        <f>HYPERLINK("http://www.sah.co.rs/df25-4f.html?___store=serbian"," Pogledajte proizvod na sajtu -&gt;")</f>
        <v> Pogledajte proizvod na sajtu -&gt;</v>
      </c>
    </row>
    <row r="9" spans="1:6" ht="12.75">
      <c r="A9" s="2">
        <v>8</v>
      </c>
      <c r="B9" t="s">
        <v>554</v>
      </c>
      <c r="C9" t="s">
        <v>555</v>
      </c>
      <c r="D9" s="2">
        <v>44</v>
      </c>
      <c r="E9" s="2">
        <v>7</v>
      </c>
      <c r="F9" s="3" t="str">
        <f>HYPERLINK("http://www.sah.co.rs/df25-5f.html?___store=serbian"," Pogledajte proizvod na sajtu -&gt;")</f>
        <v> Pogledajte proizvod na sajtu -&gt;</v>
      </c>
    </row>
    <row r="10" spans="1:6" ht="12.75">
      <c r="A10" s="2">
        <v>9</v>
      </c>
      <c r="B10" t="s">
        <v>556</v>
      </c>
      <c r="C10" t="s">
        <v>555</v>
      </c>
      <c r="D10" s="2">
        <v>81</v>
      </c>
      <c r="E10" s="2">
        <v>5.6</v>
      </c>
      <c r="F10" s="3" t="str">
        <f>HYPERLINK("http://www.sah.co.rs/tp20-f-5e.html?___store=serbian"," Pogledajte proizvod na sajtu -&gt;")</f>
        <v> Pogledajte proizvod na sajtu -&gt;</v>
      </c>
    </row>
    <row r="11" spans="1:6" ht="12.75">
      <c r="A11" s="2">
        <v>10</v>
      </c>
      <c r="B11" t="s">
        <v>557</v>
      </c>
      <c r="C11" t="s">
        <v>558</v>
      </c>
      <c r="D11" s="2">
        <v>93</v>
      </c>
      <c r="E11" s="2">
        <v>7.5</v>
      </c>
      <c r="F11" s="3" t="str">
        <f>HYPERLINK("http://www.sah.co.rs/df25-6f.html?___store=serbian"," Pogledajte proizvod na sajtu -&gt;")</f>
        <v> Pogledajte proizvod na sajtu -&gt;</v>
      </c>
    </row>
    <row r="12" spans="1:6" ht="12.75">
      <c r="A12" s="2">
        <v>11</v>
      </c>
      <c r="B12" t="s">
        <v>559</v>
      </c>
      <c r="C12" t="s">
        <v>560</v>
      </c>
      <c r="D12" s="2">
        <v>165</v>
      </c>
      <c r="E12" s="2">
        <v>6.5</v>
      </c>
      <c r="F12" s="3" t="str">
        <f>HYPERLINK("http://www.sah.co.rs/tp20-f-7e.html?___store=serbian"," Pogledajte proizvod na sajtu -&gt;")</f>
        <v> Pogledajte proizvod na sajtu -&gt;</v>
      </c>
    </row>
    <row r="13" spans="1:6" ht="12.75">
      <c r="A13" s="2">
        <v>12</v>
      </c>
      <c r="B13" t="s">
        <v>561</v>
      </c>
      <c r="C13" t="s">
        <v>562</v>
      </c>
      <c r="D13" s="2">
        <v>18</v>
      </c>
      <c r="E13" s="2">
        <v>5.7</v>
      </c>
      <c r="F13" s="3" t="str">
        <f>HYPERLINK("http://www.sah.co.rs/px-20-7p.html?___store=serbian"," Pogledajte proizvod na sajtu -&gt;")</f>
        <v> Pogledajte proizvod na sajtu -&gt;</v>
      </c>
    </row>
    <row r="14" spans="1:6" ht="12.75">
      <c r="A14" s="2">
        <v>13</v>
      </c>
      <c r="B14" t="s">
        <v>563</v>
      </c>
      <c r="C14" t="s">
        <v>564</v>
      </c>
      <c r="D14" s="2">
        <v>93</v>
      </c>
      <c r="E14" s="2">
        <v>9</v>
      </c>
      <c r="F14" s="3" t="str">
        <f>HYPERLINK("http://www.sah.co.rs/tp28-f-10e.html?___store=serbian"," Pogledajte proizvod na sajtu -&gt;")</f>
        <v> Pogledajte proizvod na sajtu -&gt;</v>
      </c>
    </row>
    <row r="15" spans="1:6" ht="12.75">
      <c r="A15" s="2">
        <v>14</v>
      </c>
      <c r="B15" t="s">
        <v>565</v>
      </c>
      <c r="C15" t="s">
        <v>566</v>
      </c>
      <c r="D15" s="2">
        <v>69</v>
      </c>
      <c r="E15" s="2">
        <v>8</v>
      </c>
      <c r="F15" s="3" t="str">
        <f>HYPERLINK("http://www.sah.co.rs/tp28-f-8e.html?___store=serbian"," Pogledajte proizvod na sajtu -&gt;")</f>
        <v> Pogledajte proizvod na sajtu -&gt;</v>
      </c>
    </row>
    <row r="16" spans="1:6" ht="12.75">
      <c r="A16" s="2">
        <v>15</v>
      </c>
      <c r="B16" t="s">
        <v>567</v>
      </c>
      <c r="C16" t="s">
        <v>568</v>
      </c>
      <c r="D16" s="2">
        <v>96</v>
      </c>
      <c r="E16" s="2">
        <v>26</v>
      </c>
      <c r="F16" s="3" t="str">
        <f>HYPERLINK("http://www.sah.co.rs/jcp-hdc-he010-3.html?___store=serbian"," Pogledajte proizvod na sajtu -&gt;")</f>
        <v> Pogledajte proizvod na sajtu -&gt;</v>
      </c>
    </row>
    <row r="17" spans="1:6" ht="12.75">
      <c r="A17" s="2">
        <v>16</v>
      </c>
      <c r="B17" t="s">
        <v>569</v>
      </c>
      <c r="C17" t="s">
        <v>570</v>
      </c>
      <c r="D17" s="2">
        <v>97</v>
      </c>
      <c r="E17" s="2">
        <v>20</v>
      </c>
      <c r="F17" s="3" t="str">
        <f>HYPERLINK("http://www.sah.co.rs/jcp-hdc-he010-1.html?___store=serbian"," Pogledajte proizvod na sajtu -&gt;")</f>
        <v> Pogledajte proizvod na sajtu -&gt;</v>
      </c>
    </row>
    <row r="18" spans="1:6" ht="12.75">
      <c r="A18" s="2">
        <v>17</v>
      </c>
      <c r="B18" t="s">
        <v>571</v>
      </c>
      <c r="C18" t="s">
        <v>572</v>
      </c>
      <c r="D18" s="2">
        <v>39</v>
      </c>
      <c r="E18" s="2">
        <v>28</v>
      </c>
      <c r="F18" s="3" t="str">
        <f>HYPERLINK("http://www.sah.co.rs/jcp-hdc-he016-3.html?___store=serbian"," Pogledajte proizvod na sajtu -&gt;")</f>
        <v> Pogledajte proizvod na sajtu -&gt;</v>
      </c>
    </row>
    <row r="19" spans="1:6" ht="12.75">
      <c r="A19" s="2">
        <v>18</v>
      </c>
      <c r="B19" t="s">
        <v>573</v>
      </c>
      <c r="C19" t="s">
        <v>574</v>
      </c>
      <c r="D19" s="2">
        <v>88</v>
      </c>
      <c r="E19" s="2">
        <v>24</v>
      </c>
      <c r="F19" s="3" t="str">
        <f>HYPERLINK("http://www.sah.co.rs/jcp-hdc-he016-1.html?___store=serbian"," Pogledajte proizvod na sajtu -&gt;")</f>
        <v> Pogledajte proizvod na sajtu -&gt;</v>
      </c>
    </row>
    <row r="20" spans="1:6" ht="12.75">
      <c r="A20" s="2">
        <v>19</v>
      </c>
      <c r="B20" t="s">
        <v>575</v>
      </c>
      <c r="C20" t="s">
        <v>576</v>
      </c>
      <c r="D20" s="2">
        <v>67</v>
      </c>
      <c r="E20" s="2">
        <v>30</v>
      </c>
      <c r="F20" s="3" t="str">
        <f>HYPERLINK("http://www.sah.co.rs/jcp-hdc-he024-3.html?___store=serbian"," Pogledajte proizvod na sajtu -&gt;")</f>
        <v> Pogledajte proizvod na sajtu -&gt;</v>
      </c>
    </row>
    <row r="21" spans="1:6" ht="12.75">
      <c r="A21" s="2">
        <v>20</v>
      </c>
      <c r="B21" t="s">
        <v>577</v>
      </c>
      <c r="C21" t="s">
        <v>578</v>
      </c>
      <c r="D21" s="2">
        <v>103</v>
      </c>
      <c r="E21" s="2">
        <v>28</v>
      </c>
      <c r="F21" s="3" t="str">
        <f>HYPERLINK("http://www.sah.co.rs/jcp-hdc-he024-1.html?___store=serbian"," Pogledajte proizvod na sajtu -&gt;")</f>
        <v> Pogledajte proizvod na sajtu -&gt;</v>
      </c>
    </row>
    <row r="22" spans="1:6" ht="12.75">
      <c r="A22" s="2">
        <v>21</v>
      </c>
      <c r="B22" t="s">
        <v>579</v>
      </c>
      <c r="C22" t="s">
        <v>580</v>
      </c>
      <c r="D22" s="2">
        <v>36</v>
      </c>
      <c r="E22" s="2">
        <v>45</v>
      </c>
      <c r="F22" s="3" t="str">
        <f>HYPERLINK("http://www.sah.co.rs/jcp-hdc-he032-3.html?___store=serbian"," Pogledajte proizvod na sajtu -&gt;")</f>
        <v> Pogledajte proizvod na sajtu -&gt;</v>
      </c>
    </row>
    <row r="23" spans="1:6" ht="12.75">
      <c r="A23" s="2">
        <v>22</v>
      </c>
      <c r="B23" t="s">
        <v>581</v>
      </c>
      <c r="C23" t="s">
        <v>582</v>
      </c>
      <c r="D23" s="2">
        <v>51</v>
      </c>
      <c r="E23" s="2">
        <v>40</v>
      </c>
      <c r="F23" s="3" t="str">
        <f>HYPERLINK("http://www.sah.co.rs/jcp-hdc-he032-1.html?___store=serbian"," Pogledajte proizvod na sajtu -&gt;")</f>
        <v> Pogledajte proizvod na sajtu -&gt;</v>
      </c>
    </row>
    <row r="24" spans="1:6" ht="12.75">
      <c r="A24" s="2">
        <v>23</v>
      </c>
      <c r="B24" t="s">
        <v>583</v>
      </c>
      <c r="C24" t="s">
        <v>584</v>
      </c>
      <c r="D24" s="2">
        <v>123</v>
      </c>
      <c r="E24" s="2">
        <v>9</v>
      </c>
      <c r="F24" s="3" t="str">
        <f>HYPERLINK("http://www.sah.co.rs/jcp-hdc-he004-e.html?___store=serbian"," Pogledajte proizvod na sajtu -&gt;")</f>
        <v> Pogledajte proizvod na sajtu -&gt;</v>
      </c>
    </row>
    <row r="25" spans="1:6" ht="12.75">
      <c r="A25" s="2">
        <v>24</v>
      </c>
      <c r="B25" t="s">
        <v>585</v>
      </c>
      <c r="C25" t="s">
        <v>586</v>
      </c>
      <c r="D25" s="2">
        <v>20</v>
      </c>
      <c r="E25" s="2">
        <v>50</v>
      </c>
      <c r="F25" s="3" t="str">
        <f>HYPERLINK("http://www.sah.co.rs/jcp-hdc-he048-1.html?___store=serbian"," Pogledajte proizvod na sajtu -&gt;")</f>
        <v> Pogledajte proizvod na sajtu -&gt;</v>
      </c>
    </row>
    <row r="26" spans="1:6" ht="12.75">
      <c r="A26" s="2">
        <v>25</v>
      </c>
      <c r="B26" t="s">
        <v>587</v>
      </c>
      <c r="C26" t="s">
        <v>588</v>
      </c>
      <c r="D26" s="2">
        <v>51</v>
      </c>
      <c r="E26" s="2">
        <v>22</v>
      </c>
      <c r="F26" s="3" t="str">
        <f>HYPERLINK("http://www.sah.co.rs/jcp-hdc-he006-3.html?___store=serbian"," Pogledajte proizvod na sajtu -&gt;")</f>
        <v> Pogledajte proizvod na sajtu -&gt;</v>
      </c>
    </row>
    <row r="27" spans="1:6" ht="12.75">
      <c r="A27" s="2">
        <v>26</v>
      </c>
      <c r="B27" t="s">
        <v>589</v>
      </c>
      <c r="C27" t="s">
        <v>590</v>
      </c>
      <c r="D27" s="2">
        <v>78</v>
      </c>
      <c r="E27" s="2">
        <v>18</v>
      </c>
      <c r="F27" s="3" t="str">
        <f>HYPERLINK("http://www.sah.co.rs/jcp-hdc-he006-1.html?___store=serbian"," Pogledajte proizvod na sajtu -&gt;")</f>
        <v> Pogledajte proizvod na sajtu -&gt;</v>
      </c>
    </row>
    <row r="28" spans="1:6" ht="12.75">
      <c r="A28" s="2">
        <v>27</v>
      </c>
      <c r="B28" t="s">
        <v>591</v>
      </c>
      <c r="C28" t="s">
        <v>592</v>
      </c>
      <c r="D28" s="2">
        <v>62</v>
      </c>
      <c r="E28" s="2">
        <v>5.6</v>
      </c>
      <c r="F28" s="3" t="str">
        <f>HYPERLINK("http://www.sah.co.rs/tp20-f-3e.html?___store=serbian"," Pogledajte proizvod na sajtu -&gt;")</f>
        <v> Pogledajte proizvod na sajtu -&gt;</v>
      </c>
    </row>
    <row r="29" spans="1:6" ht="12.75">
      <c r="A29" s="2">
        <v>28</v>
      </c>
      <c r="B29" t="s">
        <v>593</v>
      </c>
      <c r="C29" t="s">
        <v>592</v>
      </c>
      <c r="D29" s="2">
        <v>95</v>
      </c>
      <c r="E29" s="2">
        <v>7</v>
      </c>
      <c r="F29" s="3" t="str">
        <f>HYPERLINK("http://www.sah.co.rs/tp28-f-3e.html?___store=serbian"," Pogledajte proizvod na sajtu -&gt;")</f>
        <v> Pogledajte proizvod na sajtu -&gt;</v>
      </c>
    </row>
    <row r="30" spans="1:6" ht="12.75">
      <c r="A30" s="2">
        <v>29</v>
      </c>
      <c r="B30" t="s">
        <v>594</v>
      </c>
      <c r="C30" t="s">
        <v>595</v>
      </c>
      <c r="D30" s="2">
        <v>46</v>
      </c>
      <c r="E30" s="2">
        <v>4.8</v>
      </c>
      <c r="F30" s="3" t="str">
        <f>HYPERLINK("http://www.sah.co.rs/px-20-3p.html?___store=serbian"," Pogledajte proizvod na sajtu -&gt;")</f>
        <v> Pogledajte proizvod na sajtu -&gt;</v>
      </c>
    </row>
    <row r="31" spans="1:6" ht="12.75">
      <c r="A31" s="2">
        <v>30</v>
      </c>
      <c r="B31" t="s">
        <v>596</v>
      </c>
      <c r="C31" t="s">
        <v>597</v>
      </c>
      <c r="D31" s="2">
        <v>113</v>
      </c>
      <c r="E31" s="2">
        <v>7</v>
      </c>
      <c r="F31" s="3" t="str">
        <f>HYPERLINK("http://www.sah.co.rs/tp28-f-4e.html?___store=serbian"," Pogledajte proizvod na sajtu -&gt;")</f>
        <v> Pogledajte proizvod na sajtu -&gt;</v>
      </c>
    </row>
    <row r="32" spans="1:6" ht="12.75">
      <c r="A32" s="2">
        <v>31</v>
      </c>
      <c r="B32" t="s">
        <v>598</v>
      </c>
      <c r="C32" t="s">
        <v>599</v>
      </c>
      <c r="D32" s="2">
        <v>21</v>
      </c>
      <c r="E32" s="2">
        <v>5.2</v>
      </c>
      <c r="F32" s="3" t="str">
        <f>HYPERLINK("http://www.sah.co.rs/px-20-4p.html?___store=serbian"," Pogledajte proizvod na sajtu -&gt;")</f>
        <v> Pogledajte proizvod na sajtu -&gt;</v>
      </c>
    </row>
    <row r="33" spans="1:6" ht="12.75">
      <c r="A33" s="2">
        <v>32</v>
      </c>
      <c r="B33" t="s">
        <v>600</v>
      </c>
      <c r="C33" t="s">
        <v>601</v>
      </c>
      <c r="D33" s="2">
        <v>54</v>
      </c>
      <c r="E33" s="2">
        <v>7.5</v>
      </c>
      <c r="F33" s="3" t="str">
        <f>HYPERLINK("http://www.sah.co.rs/tp28-f-5e.html?___store=serbian"," Pogledajte proizvod na sajtu -&gt;")</f>
        <v> Pogledajte proizvod na sajtu -&gt;</v>
      </c>
    </row>
    <row r="34" spans="1:6" ht="12.75">
      <c r="A34" s="2">
        <v>33</v>
      </c>
      <c r="B34" t="s">
        <v>602</v>
      </c>
      <c r="C34" t="s">
        <v>603</v>
      </c>
      <c r="D34" s="2">
        <v>94</v>
      </c>
      <c r="E34" s="2">
        <v>5.5</v>
      </c>
      <c r="F34" s="3" t="str">
        <f>HYPERLINK("http://www.sah.co.rs/px-20-5p.html?___store=serbian"," Pogledajte proizvod na sajtu -&gt;")</f>
        <v> Pogledajte proizvod na sajtu -&gt;</v>
      </c>
    </row>
    <row r="35" spans="1:6" ht="12.75">
      <c r="A35" s="2">
        <v>34</v>
      </c>
      <c r="B35" t="s">
        <v>604</v>
      </c>
      <c r="C35" t="s">
        <v>605</v>
      </c>
      <c r="D35" s="2">
        <v>35</v>
      </c>
      <c r="E35" s="2">
        <v>7.5</v>
      </c>
      <c r="F35" s="3" t="str">
        <f>HYPERLINK("http://www.sah.co.rs/tp28-f-6e.html?___store=serbian"," Pogledajte proizvod na sajtu -&gt;")</f>
        <v> Pogledajte proizvod na sajtu -&gt;</v>
      </c>
    </row>
    <row r="36" spans="1:6" ht="12.75">
      <c r="A36" s="2">
        <v>35</v>
      </c>
      <c r="B36" t="s">
        <v>606</v>
      </c>
      <c r="C36" t="s">
        <v>607</v>
      </c>
      <c r="D36" s="2">
        <v>62</v>
      </c>
      <c r="E36" s="2">
        <v>8</v>
      </c>
      <c r="F36" s="3" t="str">
        <f>HYPERLINK("http://www.sah.co.rs/tp28-f-7e.html?___store=serbian"," Pogledajte proizvod na sajtu -&gt;")</f>
        <v> Pogledajte proizvod na sajtu -&gt;</v>
      </c>
    </row>
    <row r="37" spans="1:6" ht="12.75">
      <c r="A37" s="2">
        <v>36</v>
      </c>
      <c r="B37" t="s">
        <v>608</v>
      </c>
      <c r="C37" t="s">
        <v>609</v>
      </c>
      <c r="D37" s="2">
        <v>88</v>
      </c>
      <c r="E37" s="2">
        <v>8</v>
      </c>
      <c r="F37" s="3" t="str">
        <f>HYPERLINK("http://www.sah.co.rs/df20-10.html?___store=serbian"," Pogledajte proizvod na sajtu -&gt;")</f>
        <v> Pogledajte proizvod na sajtu -&gt;</v>
      </c>
    </row>
    <row r="38" spans="1:6" ht="12.75">
      <c r="A38" s="2">
        <v>37</v>
      </c>
      <c r="B38" t="s">
        <v>610</v>
      </c>
      <c r="C38" t="s">
        <v>611</v>
      </c>
      <c r="D38" s="2">
        <v>90</v>
      </c>
      <c r="E38" s="2">
        <v>7.6</v>
      </c>
      <c r="F38" s="3" t="str">
        <f>HYPERLINK("http://www.sah.co.rs/df20-7.html?___store=serbian"," Pogledajte proizvod na sajtu -&gt;")</f>
        <v> Pogledajte proizvod na sajtu -&gt;</v>
      </c>
    </row>
    <row r="39" spans="1:6" ht="12.75">
      <c r="A39" s="2">
        <v>38</v>
      </c>
      <c r="B39" t="s">
        <v>612</v>
      </c>
      <c r="C39" t="s">
        <v>611</v>
      </c>
      <c r="D39" s="2">
        <v>100</v>
      </c>
      <c r="E39" s="2">
        <v>2.9</v>
      </c>
      <c r="F39" s="3" t="str">
        <f>HYPERLINK("http://www.sah.co.rs/df16-7.html?___store=serbian"," Pogledajte proizvod na sajtu -&gt;")</f>
        <v> Pogledajte proizvod na sajtu -&gt;</v>
      </c>
    </row>
    <row r="40" spans="1:6" ht="12.75">
      <c r="A40" s="2">
        <v>39</v>
      </c>
      <c r="B40" t="s">
        <v>613</v>
      </c>
      <c r="C40" t="s">
        <v>614</v>
      </c>
      <c r="D40" s="2">
        <v>544</v>
      </c>
      <c r="E40" s="2">
        <v>3</v>
      </c>
      <c r="F40" s="3" t="str">
        <f>HYPERLINK("http://www.sah.co.rs/df16-a-7b.html?___store=serbian"," Pogledajte proizvod na sajtu -&gt;")</f>
        <v> Pogledajte proizvod na sajtu -&gt;</v>
      </c>
    </row>
    <row r="41" spans="1:6" ht="12.75">
      <c r="A41" s="2">
        <v>40</v>
      </c>
      <c r="B41" t="s">
        <v>615</v>
      </c>
      <c r="C41" t="s">
        <v>616</v>
      </c>
      <c r="D41" s="2">
        <v>38</v>
      </c>
      <c r="E41" s="2">
        <v>7.8</v>
      </c>
      <c r="F41" s="3" t="str">
        <f>HYPERLINK("http://www.sah.co.rs/df20-8.html?___store=serbian"," Pogledajte proizvod na sajtu -&gt;")</f>
        <v> Pogledajte proizvod na sajtu -&gt;</v>
      </c>
    </row>
    <row r="42" spans="1:6" ht="12.75">
      <c r="A42" s="2">
        <v>41</v>
      </c>
      <c r="B42" t="s">
        <v>617</v>
      </c>
      <c r="C42" t="s">
        <v>616</v>
      </c>
      <c r="D42" s="2">
        <v>47</v>
      </c>
      <c r="E42" s="2">
        <v>3</v>
      </c>
      <c r="F42" s="3" t="str">
        <f>HYPERLINK("http://www.sah.co.rs/df16-8.html?___store=serbian"," Pogledajte proizvod na sajtu -&gt;")</f>
        <v> Pogledajte proizvod na sajtu -&gt;</v>
      </c>
    </row>
    <row r="43" spans="1:6" ht="12.75">
      <c r="A43" s="2">
        <v>42</v>
      </c>
      <c r="B43" t="s">
        <v>618</v>
      </c>
      <c r="C43" t="s">
        <v>619</v>
      </c>
      <c r="D43" s="2">
        <v>91</v>
      </c>
      <c r="E43" s="2">
        <v>3.1</v>
      </c>
      <c r="F43" s="3" t="str">
        <f>HYPERLINK("http://www.sah.co.rs/df16-9.html?___store=serbian"," Pogledajte proizvod na sajtu -&gt;")</f>
        <v> Pogledajte proizvod na sajtu -&gt;</v>
      </c>
    </row>
    <row r="44" spans="1:6" ht="12.75">
      <c r="A44" s="2">
        <v>43</v>
      </c>
      <c r="B44" t="s">
        <v>620</v>
      </c>
      <c r="C44" t="s">
        <v>621</v>
      </c>
      <c r="D44" s="2">
        <v>433</v>
      </c>
      <c r="E44" s="2">
        <v>3.2</v>
      </c>
      <c r="F44" s="3" t="str">
        <f>HYPERLINK("http://www.sah.co.rs/df16-a-9b.html?___store=serbian"," Pogledajte proizvod na sajtu -&gt;")</f>
        <v> Pogledajte proizvod na sajtu -&gt;</v>
      </c>
    </row>
    <row r="45" spans="1:6" ht="12.75">
      <c r="A45" s="2">
        <v>44</v>
      </c>
      <c r="B45" t="s">
        <v>622</v>
      </c>
      <c r="C45" t="s">
        <v>623</v>
      </c>
      <c r="D45" s="2">
        <v>62</v>
      </c>
      <c r="E45" s="2">
        <v>8</v>
      </c>
      <c r="F45" s="3" t="str">
        <f>HYPERLINK("http://www.sah.co.rs/tp20-f-10e.html?___store=serbian"," Pogledajte proizvod na sajtu -&gt;")</f>
        <v> Pogledajte proizvod na sajtu -&gt;</v>
      </c>
    </row>
    <row r="46" spans="1:6" ht="12.75">
      <c r="A46" s="2">
        <v>45</v>
      </c>
      <c r="B46" t="s">
        <v>624</v>
      </c>
      <c r="C46" t="s">
        <v>625</v>
      </c>
      <c r="D46" s="2">
        <v>35</v>
      </c>
      <c r="E46" s="2">
        <v>6</v>
      </c>
      <c r="F46" s="3" t="str">
        <f>HYPERLINK("http://www.sah.co.rs/px-20-12p.html?___store=serbian"," Pogledajte proizvod na sajtu -&gt;")</f>
        <v> Pogledajte proizvod na sajtu -&gt;</v>
      </c>
    </row>
    <row r="47" spans="1:6" ht="12.75">
      <c r="A47" s="2">
        <v>46</v>
      </c>
      <c r="B47" t="s">
        <v>626</v>
      </c>
      <c r="C47" t="s">
        <v>627</v>
      </c>
      <c r="D47" s="2">
        <v>31</v>
      </c>
      <c r="E47" s="2">
        <v>9</v>
      </c>
      <c r="F47" s="3" t="str">
        <f>HYPERLINK("http://www.sah.co.rs/tp20-f-14e.html?___store=serbian"," Pogledajte proizvod na sajtu -&gt;")</f>
        <v> Pogledajte proizvod na sajtu -&gt;</v>
      </c>
    </row>
    <row r="48" spans="1:6" ht="12.75">
      <c r="A48" s="2">
        <v>47</v>
      </c>
      <c r="B48" t="s">
        <v>628</v>
      </c>
      <c r="C48" t="s">
        <v>629</v>
      </c>
      <c r="D48" s="2">
        <v>68</v>
      </c>
      <c r="E48" s="2">
        <v>10.5</v>
      </c>
      <c r="F48" s="3" t="str">
        <f>HYPERLINK("http://www.sah.co.rs/tp28-f-20e.html?___store=serbian"," Pogledajte proizvod na sajtu -&gt;")</f>
        <v> Pogledajte proizvod na sajtu -&gt;</v>
      </c>
    </row>
    <row r="49" spans="1:6" ht="12.75">
      <c r="A49" s="2">
        <v>48</v>
      </c>
      <c r="B49" t="s">
        <v>630</v>
      </c>
      <c r="C49" t="s">
        <v>631</v>
      </c>
      <c r="D49" s="2">
        <v>141</v>
      </c>
      <c r="E49" s="2">
        <v>11</v>
      </c>
      <c r="F49" s="3" t="str">
        <f>HYPERLINK("http://www.sah.co.rs/tp28-f-24e.html?___store=serbian"," Pogledajte proizvod na sajtu -&gt;")</f>
        <v> Pogledajte proizvod na sajtu -&gt;</v>
      </c>
    </row>
    <row r="50" spans="1:6" ht="12.75">
      <c r="A50" s="2">
        <v>49</v>
      </c>
      <c r="B50" t="s">
        <v>632</v>
      </c>
      <c r="C50" t="s">
        <v>633</v>
      </c>
      <c r="D50" s="2">
        <v>95</v>
      </c>
      <c r="E50" s="2">
        <v>7</v>
      </c>
      <c r="F50" s="3" t="str">
        <f>HYPERLINK("http://www.sah.co.rs/df20-4.html?___store=serbian"," Pogledajte proizvod na sajtu -&gt;")</f>
        <v> Pogledajte proizvod na sajtu -&gt;</v>
      </c>
    </row>
    <row r="51" spans="1:6" ht="12.75">
      <c r="A51" s="2">
        <v>50</v>
      </c>
      <c r="B51" t="s">
        <v>634</v>
      </c>
      <c r="C51" t="s">
        <v>633</v>
      </c>
      <c r="D51" s="2">
        <v>67</v>
      </c>
      <c r="E51" s="2">
        <v>2.6</v>
      </c>
      <c r="F51" s="3" t="str">
        <f>HYPERLINK("http://www.sah.co.rs/df16-4.html?___store=serbian"," Pogledajte proizvod na sajtu -&gt;")</f>
        <v> Pogledajte proizvod na sajtu -&gt;</v>
      </c>
    </row>
    <row r="52" spans="1:6" ht="12.75">
      <c r="A52" s="2">
        <v>51</v>
      </c>
      <c r="B52" t="s">
        <v>635</v>
      </c>
      <c r="C52" t="s">
        <v>636</v>
      </c>
      <c r="D52" s="2">
        <v>243</v>
      </c>
      <c r="E52" s="2">
        <v>2.6</v>
      </c>
      <c r="F52" s="3" t="str">
        <f>HYPERLINK("http://www.sah.co.rs/df16-a-4b.html?___store=serbian"," Pogledajte proizvod na sajtu -&gt;")</f>
        <v> Pogledajte proizvod na sajtu -&gt;</v>
      </c>
    </row>
    <row r="53" spans="1:6" ht="12.75">
      <c r="A53" s="2">
        <v>52</v>
      </c>
      <c r="B53" t="s">
        <v>637</v>
      </c>
      <c r="C53" t="s">
        <v>638</v>
      </c>
      <c r="D53" s="2">
        <v>94</v>
      </c>
      <c r="E53" s="2">
        <v>4.1</v>
      </c>
      <c r="F53" s="3" t="str">
        <f>HYPERLINK("http://www.sah.co.rs/px-16-4p.html?___store=serbian"," Pogledajte proizvod na sajtu -&gt;")</f>
        <v> Pogledajte proizvod na sajtu -&gt;</v>
      </c>
    </row>
    <row r="54" spans="1:6" ht="12.75">
      <c r="A54" s="2">
        <v>53</v>
      </c>
      <c r="B54" t="s">
        <v>639</v>
      </c>
      <c r="C54" t="s">
        <v>640</v>
      </c>
      <c r="D54" s="2">
        <v>151</v>
      </c>
      <c r="E54" s="2">
        <v>2.7</v>
      </c>
      <c r="F54" s="3" t="str">
        <f>HYPERLINK("http://www.sah.co.rs/df16-5.html?___store=serbian"," Pogledajte proizvod na sajtu -&gt;")</f>
        <v> Pogledajte proizvod na sajtu -&gt;</v>
      </c>
    </row>
    <row r="55" spans="1:6" ht="12.75">
      <c r="A55" s="2">
        <v>54</v>
      </c>
      <c r="B55" t="s">
        <v>641</v>
      </c>
      <c r="C55" t="s">
        <v>640</v>
      </c>
      <c r="D55" s="2">
        <v>176</v>
      </c>
      <c r="E55" s="2">
        <v>7.2</v>
      </c>
      <c r="F55" s="3" t="str">
        <f>HYPERLINK("http://www.sah.co.rs/df20-5.html?___store=serbian"," Pogledajte proizvod na sajtu -&gt;")</f>
        <v> Pogledajte proizvod na sajtu -&gt;</v>
      </c>
    </row>
    <row r="56" spans="1:6" ht="12.75">
      <c r="A56" s="2">
        <v>55</v>
      </c>
      <c r="B56" t="s">
        <v>642</v>
      </c>
      <c r="C56" t="s">
        <v>643</v>
      </c>
      <c r="D56" s="2">
        <v>450</v>
      </c>
      <c r="E56" s="2">
        <v>2.8</v>
      </c>
      <c r="F56" s="3" t="str">
        <f>HYPERLINK("http://www.sah.co.rs/df16-a-5b.html?___store=serbian"," Pogledajte proizvod na sajtu -&gt;")</f>
        <v> Pogledajte proizvod na sajtu -&gt;</v>
      </c>
    </row>
    <row r="57" spans="1:6" ht="12.75">
      <c r="A57" s="2">
        <v>56</v>
      </c>
      <c r="B57" t="s">
        <v>644</v>
      </c>
      <c r="C57" t="s">
        <v>645</v>
      </c>
      <c r="D57" s="2">
        <v>58</v>
      </c>
      <c r="E57" s="2">
        <v>4.3</v>
      </c>
      <c r="F57" s="3" t="str">
        <f>HYPERLINK("http://www.sah.co.rs/px-16-5p.html?___store=serbian"," Pogledajte proizvod na sajtu -&gt;")</f>
        <v> Pogledajte proizvod na sajtu -&gt;</v>
      </c>
    </row>
    <row r="58" spans="1:6" ht="12.75">
      <c r="A58" s="2">
        <v>57</v>
      </c>
      <c r="B58" t="s">
        <v>646</v>
      </c>
      <c r="C58" t="s">
        <v>647</v>
      </c>
      <c r="D58" s="2">
        <v>40</v>
      </c>
      <c r="E58" s="2">
        <v>7.4</v>
      </c>
      <c r="F58" s="3" t="str">
        <f>HYPERLINK("http://www.sah.co.rs/df20-6.html?___store=serbian"," Pogledajte proizvod na sajtu -&gt;")</f>
        <v> Pogledajte proizvod na sajtu -&gt;</v>
      </c>
    </row>
    <row r="59" spans="1:6" ht="12.75">
      <c r="A59" s="2">
        <v>58</v>
      </c>
      <c r="B59" t="s">
        <v>648</v>
      </c>
      <c r="C59" t="s">
        <v>647</v>
      </c>
      <c r="D59" s="2">
        <v>26</v>
      </c>
      <c r="E59" s="2">
        <v>2.8</v>
      </c>
      <c r="F59" s="3" t="str">
        <f>HYPERLINK("http://www.sah.co.rs/df16-6.html?___store=serbian"," Pogledajte proizvod na sajtu -&gt;")</f>
        <v> Pogledajte proizvod na sajtu -&gt;</v>
      </c>
    </row>
    <row r="60" spans="1:6" ht="12.75">
      <c r="A60" s="2">
        <v>59</v>
      </c>
      <c r="B60" t="s">
        <v>649</v>
      </c>
      <c r="C60" t="s">
        <v>650</v>
      </c>
      <c r="D60" s="2">
        <v>166</v>
      </c>
      <c r="E60" s="2">
        <v>2.9</v>
      </c>
      <c r="F60" s="3" t="str">
        <f>HYPERLINK("http://www.sah.co.rs/df16-a-6b.html?___store=serbian"," Pogledajte proizvod na sajtu -&gt;")</f>
        <v> Pogledajte proizvod na sajtu -&gt;</v>
      </c>
    </row>
    <row r="61" spans="1:6" ht="12.75">
      <c r="A61" s="2">
        <v>60</v>
      </c>
      <c r="B61" t="s">
        <v>651</v>
      </c>
      <c r="C61" t="s">
        <v>652</v>
      </c>
      <c r="D61" s="2">
        <v>75</v>
      </c>
      <c r="E61" s="2">
        <v>4.5</v>
      </c>
      <c r="F61" s="3" t="str">
        <f>HYPERLINK("http://www.sah.co.rs/px-16-6p.html?___store=serbian"," Pogledajte proizvod na sajtu -&gt;")</f>
        <v> Pogledajte proizvod na sajtu -&gt;</v>
      </c>
    </row>
    <row r="62" spans="1:6" ht="12.75">
      <c r="A62" s="2">
        <v>61</v>
      </c>
      <c r="B62" t="s">
        <v>653</v>
      </c>
      <c r="C62" t="s">
        <v>654</v>
      </c>
      <c r="D62" s="2">
        <v>81</v>
      </c>
      <c r="E62" s="2">
        <v>4.6</v>
      </c>
      <c r="F62" s="3" t="str">
        <f>HYPERLINK("http://www.sah.co.rs/px-16-7p.html?___store=serbian"," Pogledajte proizvod na sajtu -&gt;")</f>
        <v> Pogledajte proizvod na sajtu -&gt;</v>
      </c>
    </row>
    <row r="63" spans="1:6" ht="12.75">
      <c r="A63" s="2">
        <v>62</v>
      </c>
      <c r="B63" t="s">
        <v>655</v>
      </c>
      <c r="C63" t="s">
        <v>656</v>
      </c>
      <c r="D63" s="2">
        <v>72</v>
      </c>
      <c r="E63" s="2">
        <v>4.8</v>
      </c>
      <c r="F63" s="3" t="str">
        <f>HYPERLINK("http://www.sah.co.rs/px-16-9p.html?___store=serbian"," Pogledajte proizvod na sajtu -&gt;")</f>
        <v> Pogledajte proizvod na sajtu -&gt;</v>
      </c>
    </row>
    <row r="64" spans="1:6" ht="12.75">
      <c r="A64" s="2">
        <v>63</v>
      </c>
      <c r="B64" t="s">
        <v>657</v>
      </c>
      <c r="C64" t="s">
        <v>656</v>
      </c>
      <c r="D64" s="2">
        <v>15</v>
      </c>
      <c r="E64" s="2">
        <v>5.8</v>
      </c>
      <c r="F64" s="3" t="str">
        <f>HYPERLINK("http://www.sah.co.rs/px-20-9p.html?___store=serbian"," Pogledajte proizvod na sajtu -&gt;")</f>
        <v> Pogledajte proizvod na sajtu -&gt;</v>
      </c>
    </row>
    <row r="65" spans="1:6" ht="12.75">
      <c r="A65" s="2">
        <v>64</v>
      </c>
      <c r="B65" t="s">
        <v>658</v>
      </c>
      <c r="C65" t="s">
        <v>659</v>
      </c>
      <c r="D65" s="2">
        <v>88</v>
      </c>
      <c r="E65" s="2">
        <v>6.6</v>
      </c>
      <c r="F65" s="3" t="str">
        <f>HYPERLINK("http://www.sah.co.rs/df20-2.html?___store=serbian"," Pogledajte proizvod na sajtu -&gt;")</f>
        <v> Pogledajte proizvod na sajtu -&gt;</v>
      </c>
    </row>
    <row r="66" spans="1:6" ht="12.75">
      <c r="A66" s="2">
        <v>65</v>
      </c>
      <c r="B66" t="s">
        <v>660</v>
      </c>
      <c r="C66" t="s">
        <v>659</v>
      </c>
      <c r="D66" s="2">
        <v>59</v>
      </c>
      <c r="E66" s="2">
        <v>2.4</v>
      </c>
      <c r="F66" s="3" t="str">
        <f>HYPERLINK("http://www.sah.co.rs/df16-2.html?___store=serbian"," Pogledajte proizvod na sajtu -&gt;")</f>
        <v> Pogledajte proizvod na sajtu -&gt;</v>
      </c>
    </row>
    <row r="67" spans="1:6" ht="12.75">
      <c r="A67" s="2">
        <v>66</v>
      </c>
      <c r="B67" t="s">
        <v>661</v>
      </c>
      <c r="C67" t="s">
        <v>662</v>
      </c>
      <c r="D67" s="2">
        <v>76</v>
      </c>
      <c r="E67" s="2">
        <v>2.4</v>
      </c>
      <c r="F67" s="3" t="str">
        <f>HYPERLINK("http://www.sah.co.rs/df16-a-2b.html?___store=serbian"," Pogledajte proizvod na sajtu -&gt;")</f>
        <v> Pogledajte proizvod na sajtu -&gt;</v>
      </c>
    </row>
    <row r="68" spans="1:6" ht="12.75">
      <c r="A68" s="2">
        <v>67</v>
      </c>
      <c r="B68" t="s">
        <v>663</v>
      </c>
      <c r="C68" t="s">
        <v>664</v>
      </c>
      <c r="D68" s="2">
        <v>263</v>
      </c>
      <c r="E68" s="2">
        <v>6.8</v>
      </c>
      <c r="F68" s="3" t="str">
        <f>HYPERLINK("http://www.sah.co.rs/df20-3.html?___store=serbian"," Pogledajte proizvod na sajtu -&gt;")</f>
        <v> Pogledajte proizvod na sajtu -&gt;</v>
      </c>
    </row>
    <row r="69" spans="1:6" ht="12.75">
      <c r="A69" s="2">
        <v>68</v>
      </c>
      <c r="B69" t="s">
        <v>665</v>
      </c>
      <c r="C69" t="s">
        <v>664</v>
      </c>
      <c r="D69" s="2">
        <v>227</v>
      </c>
      <c r="E69" s="2">
        <v>2.5</v>
      </c>
      <c r="F69" s="3" t="str">
        <f>HYPERLINK("http://www.sah.co.rs/df16-3.html?___store=serbian"," Pogledajte proizvod na sajtu -&gt;")</f>
        <v> Pogledajte proizvod na sajtu -&gt;</v>
      </c>
    </row>
    <row r="70" spans="1:6" ht="12.75">
      <c r="A70" s="2">
        <v>69</v>
      </c>
      <c r="B70" t="s">
        <v>666</v>
      </c>
      <c r="C70" t="s">
        <v>667</v>
      </c>
      <c r="D70" s="2">
        <v>112</v>
      </c>
      <c r="E70" s="2">
        <v>2.4</v>
      </c>
      <c r="F70" s="3" t="str">
        <f>HYPERLINK("http://www.sah.co.rs/df16-a-3b.html?___store=serbian"," Pogledajte proizvod na sajtu -&gt;")</f>
        <v> Pogledajte proizvod na sajtu -&gt;</v>
      </c>
    </row>
    <row r="71" spans="1:6" ht="12.75">
      <c r="A71" s="2">
        <v>70</v>
      </c>
      <c r="B71" t="s">
        <v>668</v>
      </c>
      <c r="C71" t="s">
        <v>669</v>
      </c>
      <c r="D71" s="2">
        <v>480</v>
      </c>
      <c r="E71" s="2">
        <v>2</v>
      </c>
      <c r="F71" s="3" t="str">
        <f>HYPERLINK("http://www.sah.co.rs/h2519-10.html?___store=serbian","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0.8515625" style="0" customWidth="1"/>
    <col min="3" max="3" width="58.4218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84</v>
      </c>
      <c r="C2" t="s">
        <v>85</v>
      </c>
      <c r="D2" s="2">
        <v>4</v>
      </c>
      <c r="E2" s="2">
        <v>60</v>
      </c>
      <c r="F2" s="3" t="str">
        <f>HYPERLINK("http://www.sah.co.rs/bw3.html?___store=serbian"," Pogledajte proizvod na sajtu -&gt;")</f>
        <v> Pogledajte proizvod na sajtu -&gt;</v>
      </c>
    </row>
    <row r="3" spans="1:6" ht="12.75">
      <c r="A3" s="2">
        <v>2</v>
      </c>
      <c r="B3" t="s">
        <v>86</v>
      </c>
      <c r="C3" t="s">
        <v>87</v>
      </c>
      <c r="D3" s="2">
        <v>2</v>
      </c>
      <c r="E3" s="2">
        <v>100</v>
      </c>
      <c r="F3" s="3" t="str">
        <f>HYPERLINK("http://www.sah.co.rs/tak-850.html?___store=serbian"," Pogledajte proizvod na sajtu -&gt;")</f>
        <v> Pogledajte proizvod na sajtu -&gt;</v>
      </c>
    </row>
    <row r="4" spans="1:6" ht="12.75">
      <c r="A4" s="2">
        <v>3</v>
      </c>
      <c r="B4" t="s">
        <v>88</v>
      </c>
      <c r="C4" t="s">
        <v>89</v>
      </c>
      <c r="D4" s="2">
        <v>3</v>
      </c>
      <c r="E4" s="2">
        <v>35</v>
      </c>
      <c r="F4" s="3" t="str">
        <f>HYPERLINK("http://www.sah.co.rs/tgk-936a.html?___store=serbian"," Pogledajte proizvod na sajtu -&gt;")</f>
        <v> Pogledajte proizvod na sajtu -&gt;</v>
      </c>
    </row>
    <row r="5" spans="1:6" ht="12.75">
      <c r="A5" s="2">
        <v>4</v>
      </c>
      <c r="B5" t="s">
        <v>90</v>
      </c>
      <c r="C5" t="s">
        <v>91</v>
      </c>
      <c r="D5" s="2">
        <v>78</v>
      </c>
      <c r="E5" s="2">
        <v>5</v>
      </c>
      <c r="F5" s="3" t="str">
        <f>HYPERLINK("http://www.sah.co.rs/plato-170.html?___store=serbian"," Pogledajte proizvod na sajtu -&gt;")</f>
        <v> Pogledajte proizvod na sajtu -&gt;</v>
      </c>
    </row>
    <row r="6" spans="1:6" ht="12.75">
      <c r="A6" s="2">
        <v>5</v>
      </c>
      <c r="B6" t="s">
        <v>92</v>
      </c>
      <c r="C6" t="s">
        <v>93</v>
      </c>
      <c r="D6" s="2">
        <v>3</v>
      </c>
      <c r="E6" s="2">
        <v>40</v>
      </c>
      <c r="F6" s="3" t="str">
        <f>HYPERLINK("http://www.sah.co.rs/ts-23.html?___store=serbian"," Pogledajte proizvod na sajtu -&gt;")</f>
        <v> Pogledajte proizvod na sajtu -&gt;</v>
      </c>
    </row>
    <row r="7" spans="1:6" ht="12.75">
      <c r="A7" s="2">
        <v>6</v>
      </c>
      <c r="B7" t="s">
        <v>94</v>
      </c>
      <c r="C7" t="s">
        <v>95</v>
      </c>
      <c r="D7" s="2">
        <v>12</v>
      </c>
      <c r="E7" s="2">
        <v>3</v>
      </c>
      <c r="F7" s="3" t="str">
        <f>HYPERLINK("http://www.sah.co.rs/at-20-i.html?___store=serbian"," Pogledajte proizvod na sajtu -&gt;")</f>
        <v> Pogledajte proizvod na sajtu -&gt;</v>
      </c>
    </row>
    <row r="8" spans="1:6" ht="12.75">
      <c r="A8" s="2">
        <v>7</v>
      </c>
      <c r="B8" t="s">
        <v>96</v>
      </c>
      <c r="C8" t="s">
        <v>97</v>
      </c>
      <c r="D8" s="2">
        <v>26</v>
      </c>
      <c r="E8" s="2">
        <v>3</v>
      </c>
      <c r="F8" s="3" t="str">
        <f>HYPERLINK("http://www.sah.co.rs/at-20-b.html?___store=serbian"," Pogledajte proizvod na sajtu -&gt;")</f>
        <v> Pogledajte proizvod na sajtu -&gt;</v>
      </c>
    </row>
    <row r="9" spans="1:6" ht="12.75">
      <c r="A9" s="2">
        <v>8</v>
      </c>
      <c r="B9" t="s">
        <v>98</v>
      </c>
      <c r="C9" t="s">
        <v>99</v>
      </c>
      <c r="D9" s="2">
        <v>25</v>
      </c>
      <c r="E9" s="2">
        <v>3</v>
      </c>
      <c r="F9" s="3" t="str">
        <f>HYPERLINK("http://www.sah.co.rs/at-20-1-6d.html?___store=serbian"," Pogledajte proizvod na sajtu -&gt;")</f>
        <v> Pogledajte proizvod na sajtu -&gt;</v>
      </c>
    </row>
    <row r="10" spans="1:6" ht="12.75">
      <c r="A10" s="2">
        <v>9</v>
      </c>
      <c r="B10" t="s">
        <v>100</v>
      </c>
      <c r="C10" t="s">
        <v>101</v>
      </c>
      <c r="D10" s="2">
        <v>16</v>
      </c>
      <c r="E10" s="2">
        <v>3</v>
      </c>
      <c r="F10" s="3" t="str">
        <f>HYPERLINK("http://www.sah.co.rs/at-20-2c.html?___store=serbian"," Pogledajte proizvod na sajtu -&gt;")</f>
        <v> Pogledajte proizvod na sajtu -&gt;</v>
      </c>
    </row>
    <row r="11" spans="1:6" ht="12.75">
      <c r="A11" s="2">
        <v>10</v>
      </c>
      <c r="B11" t="s">
        <v>102</v>
      </c>
      <c r="C11" t="s">
        <v>103</v>
      </c>
      <c r="D11" s="2">
        <v>15</v>
      </c>
      <c r="E11" s="2">
        <v>3</v>
      </c>
      <c r="F11" s="3" t="str">
        <f>HYPERLINK("http://www.sah.co.rs/at-20-2-4d.html?___store=serbian","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22.7109375" style="0" customWidth="1"/>
    <col min="3" max="3" width="53.4218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670</v>
      </c>
      <c r="C2" t="s">
        <v>671</v>
      </c>
      <c r="D2" s="2">
        <v>167</v>
      </c>
      <c r="E2" s="2">
        <v>110</v>
      </c>
      <c r="F2" s="3" t="str">
        <f>HYPERLINK("http://www.sah.co.rs/eds800-2s0004.html?___store=serbian"," Pogledajte proizvod na sajtu -&gt;")</f>
        <v> Pogledajte proizvod na sajtu -&gt;</v>
      </c>
    </row>
    <row r="3" spans="1:6" ht="12.75">
      <c r="A3" s="2">
        <v>2</v>
      </c>
      <c r="B3" t="s">
        <v>672</v>
      </c>
      <c r="C3" t="s">
        <v>671</v>
      </c>
      <c r="D3" s="2">
        <v>13</v>
      </c>
      <c r="E3" s="2">
        <v>120</v>
      </c>
      <c r="F3" s="3" t="str">
        <f>HYPERLINK("http://www.sah.co.rs/gd10-0r4g-s2-b.html?___store=serbian"," Pogledajte proizvod na sajtu -&gt;")</f>
        <v> Pogledajte proizvod na sajtu -&gt;</v>
      </c>
    </row>
    <row r="4" spans="1:6" ht="12.75">
      <c r="A4" s="2">
        <v>3</v>
      </c>
      <c r="B4" t="s">
        <v>673</v>
      </c>
      <c r="C4" t="s">
        <v>674</v>
      </c>
      <c r="D4" s="2">
        <v>3</v>
      </c>
      <c r="E4" s="2">
        <v>220</v>
      </c>
      <c r="F4" s="3" t="str">
        <f>HYPERLINK("http://www.sah.co.rs/eds-v300-2s0007.html?___store=serbian"," Pogledajte proizvod na sajtu -&gt;")</f>
        <v> Pogledajte proizvod na sajtu -&gt;</v>
      </c>
    </row>
    <row r="5" spans="1:6" ht="12.75">
      <c r="A5" s="2">
        <v>4</v>
      </c>
      <c r="B5" t="s">
        <v>675</v>
      </c>
      <c r="C5" t="s">
        <v>674</v>
      </c>
      <c r="D5" s="2">
        <v>74</v>
      </c>
      <c r="E5" s="2">
        <v>125</v>
      </c>
      <c r="F5" s="3" t="str">
        <f>HYPERLINK("http://www.sah.co.rs/eds800-2s0007.html?___store=serbian"," Pogledajte proizvod na sajtu -&gt;")</f>
        <v> Pogledajte proizvod na sajtu -&gt;</v>
      </c>
    </row>
    <row r="6" spans="1:6" ht="12.75">
      <c r="A6" s="2">
        <v>5</v>
      </c>
      <c r="B6" t="s">
        <v>676</v>
      </c>
      <c r="C6" t="s">
        <v>677</v>
      </c>
      <c r="D6" s="2">
        <v>41</v>
      </c>
      <c r="E6" s="2">
        <v>175</v>
      </c>
      <c r="F6" s="3" t="str">
        <f>HYPERLINK("http://www.sah.co.rs/eds800-4t0007.html?___store=serbian"," Pogledajte proizvod na sajtu -&gt;")</f>
        <v> Pogledajte proizvod na sajtu -&gt;</v>
      </c>
    </row>
    <row r="7" spans="1:6" ht="12.75">
      <c r="A7" s="2">
        <v>6</v>
      </c>
      <c r="B7" t="s">
        <v>678</v>
      </c>
      <c r="C7" t="s">
        <v>677</v>
      </c>
      <c r="D7" s="2">
        <v>6</v>
      </c>
      <c r="E7" s="2">
        <v>185</v>
      </c>
      <c r="F7" s="3" t="str">
        <f>HYPERLINK("http://www.sah.co.rs/gd10-0r7g-4-b.html?___store=serbian"," Pogledajte proizvod na sajtu -&gt;")</f>
        <v> Pogledajte proizvod na sajtu -&gt;</v>
      </c>
    </row>
    <row r="8" spans="1:6" ht="12.75">
      <c r="A8" s="2">
        <v>7</v>
      </c>
      <c r="B8" t="s">
        <v>679</v>
      </c>
      <c r="C8" t="s">
        <v>680</v>
      </c>
      <c r="D8" s="2">
        <v>0</v>
      </c>
      <c r="E8" s="2">
        <v>170</v>
      </c>
      <c r="F8" s="3" t="str">
        <f>HYPERLINK("http://www.sah.co.rs/en600-2s0007.html?___store=serbian"," Pogledajte proizvod na sajtu -&gt;")</f>
        <v> Pogledajte proizvod na sajtu -&gt;</v>
      </c>
    </row>
    <row r="9" spans="1:6" ht="12.75">
      <c r="A9" s="2">
        <v>8</v>
      </c>
      <c r="B9" t="s">
        <v>681</v>
      </c>
      <c r="C9" t="s">
        <v>682</v>
      </c>
      <c r="D9" s="2">
        <v>12</v>
      </c>
      <c r="E9" s="2">
        <v>210</v>
      </c>
      <c r="F9" s="3" t="str">
        <f>HYPERLINK("http://www.sah.co.rs/en600-4t0007g-0015p.html?___store=serbian"," Pogledajte proizvod na sajtu -&gt;")</f>
        <v> Pogledajte proizvod na sajtu -&gt;</v>
      </c>
    </row>
    <row r="10" spans="1:6" ht="12.75">
      <c r="A10" s="2">
        <v>9</v>
      </c>
      <c r="B10" t="s">
        <v>683</v>
      </c>
      <c r="C10" t="s">
        <v>684</v>
      </c>
      <c r="D10" s="2">
        <v>10</v>
      </c>
      <c r="E10" s="2">
        <v>180</v>
      </c>
      <c r="F10" s="3" t="str">
        <f>HYPERLINK("http://www.sah.co.rs/en600-2s0015.html?___store=serbian"," Pogledajte proizvod na sajtu -&gt;")</f>
        <v> Pogledajte proizvod na sajtu -&gt;</v>
      </c>
    </row>
    <row r="11" spans="1:6" ht="12.75">
      <c r="A11" s="2">
        <v>10</v>
      </c>
      <c r="B11" t="s">
        <v>685</v>
      </c>
      <c r="C11" t="s">
        <v>686</v>
      </c>
      <c r="D11" s="2">
        <v>100</v>
      </c>
      <c r="E11" s="2">
        <v>145</v>
      </c>
      <c r="F11" s="3" t="str">
        <f>HYPERLINK("http://www.sah.co.rs/eds800-2s0015.html?___store=serbian"," Pogledajte proizvod na sajtu -&gt;")</f>
        <v> Pogledajte proizvod na sajtu -&gt;</v>
      </c>
    </row>
    <row r="12" spans="1:6" ht="12.75">
      <c r="A12" s="2">
        <v>11</v>
      </c>
      <c r="B12" t="s">
        <v>687</v>
      </c>
      <c r="C12" t="s">
        <v>686</v>
      </c>
      <c r="D12" s="2">
        <v>14</v>
      </c>
      <c r="E12" s="2">
        <v>180</v>
      </c>
      <c r="F12" s="3" t="str">
        <f>HYPERLINK("http://www.sah.co.rs/eds1000-2s0015.html?___store=serbian"," Pogledajte proizvod na sajtu -&gt;")</f>
        <v> Pogledajte proizvod na sajtu -&gt;</v>
      </c>
    </row>
    <row r="13" spans="1:6" ht="12.75">
      <c r="A13" s="2">
        <v>12</v>
      </c>
      <c r="B13" t="s">
        <v>688</v>
      </c>
      <c r="C13" t="s">
        <v>686</v>
      </c>
      <c r="D13" s="2">
        <v>8</v>
      </c>
      <c r="E13" s="2">
        <v>165</v>
      </c>
      <c r="F13" s="3" t="str">
        <f>HYPERLINK("http://www.sah.co.rs/gd10-1r5g-s2-b.html?___store=serbian"," Pogledajte proizvod na sajtu -&gt;")</f>
        <v> Pogledajte proizvod na sajtu -&gt;</v>
      </c>
    </row>
    <row r="14" spans="1:6" ht="12.75">
      <c r="A14" s="2">
        <v>13</v>
      </c>
      <c r="B14" t="s">
        <v>689</v>
      </c>
      <c r="C14" t="s">
        <v>686</v>
      </c>
      <c r="D14" s="2">
        <v>3</v>
      </c>
      <c r="E14" s="2">
        <v>230</v>
      </c>
      <c r="F14" s="3" t="str">
        <f>HYPERLINK("http://www.sah.co.rs/eds-v300-2s0015.html?___store=serbian"," Pogledajte proizvod na sajtu -&gt;")</f>
        <v> Pogledajte proizvod na sajtu -&gt;</v>
      </c>
    </row>
    <row r="15" spans="1:6" ht="12.75">
      <c r="A15" s="2">
        <v>14</v>
      </c>
      <c r="B15" t="s">
        <v>690</v>
      </c>
      <c r="C15" t="s">
        <v>686</v>
      </c>
      <c r="D15" s="2">
        <v>2</v>
      </c>
      <c r="E15" s="2">
        <v>165</v>
      </c>
      <c r="F15" s="3" t="str">
        <f>HYPERLINK("http://www.sah.co.rs/e1000-0015s2f1k.html?___store=serbian"," Pogledajte proizvod na sajtu -&gt;")</f>
        <v> Pogledajte proizvod na sajtu -&gt;</v>
      </c>
    </row>
    <row r="16" spans="1:6" ht="12.75">
      <c r="A16" s="2">
        <v>15</v>
      </c>
      <c r="B16" t="s">
        <v>691</v>
      </c>
      <c r="C16" t="s">
        <v>692</v>
      </c>
      <c r="D16" s="2">
        <v>48</v>
      </c>
      <c r="E16" s="2">
        <v>185</v>
      </c>
      <c r="F16" s="3" t="str">
        <f>HYPERLINK("http://www.sah.co.rs/eds800-4t0015.html?___store=serbian"," Pogledajte proizvod na sajtu -&gt;")</f>
        <v> Pogledajte proizvod na sajtu -&gt;</v>
      </c>
    </row>
    <row r="17" spans="1:6" ht="12.75">
      <c r="A17" s="2">
        <v>16</v>
      </c>
      <c r="B17" t="s">
        <v>693</v>
      </c>
      <c r="C17" t="s">
        <v>692</v>
      </c>
      <c r="D17" s="2">
        <v>5</v>
      </c>
      <c r="E17" s="2">
        <v>210</v>
      </c>
      <c r="F17" s="3" t="str">
        <f>HYPERLINK("http://www.sah.co.rs/em11-g3-1d5.html?___store=serbian"," Pogledajte proizvod na sajtu -&gt;")</f>
        <v> Pogledajte proizvod na sajtu -&gt;</v>
      </c>
    </row>
    <row r="18" spans="1:6" ht="12.75">
      <c r="A18" s="2">
        <v>17</v>
      </c>
      <c r="B18" t="s">
        <v>694</v>
      </c>
      <c r="C18" t="s">
        <v>692</v>
      </c>
      <c r="D18" s="2">
        <v>5</v>
      </c>
      <c r="E18" s="2">
        <v>225</v>
      </c>
      <c r="F18" s="3" t="str">
        <f>HYPERLINK("http://www.sah.co.rs/gd10-1r5g-4-b.html?___store=serbian"," Pogledajte proizvod na sajtu -&gt;")</f>
        <v> Pogledajte proizvod na sajtu -&gt;</v>
      </c>
    </row>
    <row r="19" spans="1:6" ht="12.75">
      <c r="A19" s="2">
        <v>18</v>
      </c>
      <c r="B19" t="s">
        <v>695</v>
      </c>
      <c r="C19" t="s">
        <v>696</v>
      </c>
      <c r="D19" s="2">
        <v>35</v>
      </c>
      <c r="E19" s="2">
        <v>220</v>
      </c>
      <c r="F19" s="3" t="str">
        <f>HYPERLINK("http://www.sah.co.rs/en600-4t0015g-0022p.html?___store=serbian"," Pogledajte proizvod na sajtu -&gt;")</f>
        <v> Pogledajte proizvod na sajtu -&gt;</v>
      </c>
    </row>
    <row r="20" spans="1:6" ht="12.75">
      <c r="A20" s="2">
        <v>19</v>
      </c>
      <c r="B20" t="s">
        <v>697</v>
      </c>
      <c r="C20" t="s">
        <v>698</v>
      </c>
      <c r="D20" s="2">
        <v>1</v>
      </c>
      <c r="E20" s="2">
        <v>700</v>
      </c>
      <c r="F20" s="3" t="str">
        <f>HYPERLINK("http://www.sah.co.rs/eds-v300-4t0110.html?___store=serbian"," Pogledajte proizvod na sajtu -&gt;")</f>
        <v> Pogledajte proizvod na sajtu -&gt;</v>
      </c>
    </row>
    <row r="21" spans="1:6" ht="12.75">
      <c r="A21" s="2">
        <v>20</v>
      </c>
      <c r="B21" t="s">
        <v>699</v>
      </c>
      <c r="C21" t="s">
        <v>700</v>
      </c>
      <c r="D21" s="2">
        <v>3</v>
      </c>
      <c r="E21" s="2">
        <v>4000</v>
      </c>
      <c r="F21" s="3" t="str">
        <f>HYPERLINK("http://www.sah.co.rs/en500-4t1100g-1320p.html?___store=serbian"," Pogledajte proizvod na sajtu -&gt;")</f>
        <v> Pogledajte proizvod na sajtu -&gt;</v>
      </c>
    </row>
    <row r="22" spans="1:6" ht="12.75">
      <c r="A22" s="2">
        <v>21</v>
      </c>
      <c r="B22" t="s">
        <v>701</v>
      </c>
      <c r="C22" t="s">
        <v>702</v>
      </c>
      <c r="D22" s="2">
        <v>14</v>
      </c>
      <c r="E22" s="2">
        <v>600</v>
      </c>
      <c r="F22" s="3" t="str">
        <f>HYPERLINK("http://www.sah.co.rs/en600-4t0110g-0150p.html?___store=serbian"," Pogledajte proizvod na sajtu -&gt;")</f>
        <v> Pogledajte proizvod na sajtu -&gt;</v>
      </c>
    </row>
    <row r="23" spans="1:6" ht="12.75">
      <c r="A23" s="2">
        <v>22</v>
      </c>
      <c r="B23" t="s">
        <v>703</v>
      </c>
      <c r="C23" t="s">
        <v>704</v>
      </c>
      <c r="D23" s="2">
        <v>3</v>
      </c>
      <c r="E23" s="2">
        <v>4500</v>
      </c>
      <c r="F23" s="3" t="str">
        <f>HYPERLINK("http://www.sah.co.rs/en500-4t1320g-1600p.html?___store=serbian"," Pogledajte proizvod na sajtu -&gt;")</f>
        <v> Pogledajte proizvod na sajtu -&gt;</v>
      </c>
    </row>
    <row r="24" spans="1:6" ht="12.75">
      <c r="A24" s="2">
        <v>23</v>
      </c>
      <c r="B24" t="s">
        <v>705</v>
      </c>
      <c r="C24" t="s">
        <v>706</v>
      </c>
      <c r="D24" s="2">
        <v>14</v>
      </c>
      <c r="E24" s="2">
        <v>700</v>
      </c>
      <c r="F24" s="3" t="str">
        <f>HYPERLINK("http://www.sah.co.rs/en600-4t0150g-0185p.html?___store=serbian"," Pogledajte proizvod na sajtu -&gt;")</f>
        <v> Pogledajte proizvod na sajtu -&gt;</v>
      </c>
    </row>
    <row r="25" spans="1:6" ht="12.75">
      <c r="A25" s="2">
        <v>24</v>
      </c>
      <c r="B25" t="s">
        <v>707</v>
      </c>
      <c r="C25" t="s">
        <v>708</v>
      </c>
      <c r="D25" s="2">
        <v>0</v>
      </c>
      <c r="E25" s="2">
        <v>6300</v>
      </c>
      <c r="F25" s="3" t="str">
        <f>HYPERLINK("http://www.sah.co.rs/en500-4t1600g-2000p.html?___store=serbian"," Pogledajte proizvod na sajtu -&gt;")</f>
        <v> Pogledajte proizvod na sajtu -&gt;</v>
      </c>
    </row>
    <row r="26" spans="1:6" ht="12.75">
      <c r="A26" s="2">
        <v>25</v>
      </c>
      <c r="B26" t="s">
        <v>709</v>
      </c>
      <c r="C26" t="s">
        <v>710</v>
      </c>
      <c r="D26" s="2">
        <v>1</v>
      </c>
      <c r="E26" s="2">
        <v>1045.5</v>
      </c>
      <c r="F26" s="3" t="str">
        <f>HYPERLINK("http://www.sah.co.rs/f1500-g0185t3c.html?___store=serbian"," Pogledajte proizvod na sajtu -&gt;")</f>
        <v> Pogledajte proizvod na sajtu -&gt;</v>
      </c>
    </row>
    <row r="27" spans="1:6" ht="12.75">
      <c r="A27" s="2">
        <v>26</v>
      </c>
      <c r="B27" t="s">
        <v>711</v>
      </c>
      <c r="C27" t="s">
        <v>712</v>
      </c>
      <c r="D27" s="2">
        <v>2</v>
      </c>
      <c r="E27" s="2">
        <v>950</v>
      </c>
      <c r="F27" s="3" t="str">
        <f>HYPERLINK("http://www.sah.co.rs/eds1000-4t0185g-0220p.html?___store=serbian"," Pogledajte proizvod na sajtu -&gt;")</f>
        <v> Pogledajte proizvod na sajtu -&gt;</v>
      </c>
    </row>
    <row r="28" spans="1:6" ht="12.75">
      <c r="A28" s="2">
        <v>27</v>
      </c>
      <c r="B28" t="s">
        <v>713</v>
      </c>
      <c r="C28" t="s">
        <v>714</v>
      </c>
      <c r="D28" s="2">
        <v>0</v>
      </c>
      <c r="E28" s="2">
        <v>950</v>
      </c>
      <c r="F28" s="3" t="str">
        <f>HYPERLINK("http://www.sah.co.rs/en600-4t0185g-0220p.html?___store=serbian"," Pogledajte proizvod na sajtu -&gt;")</f>
        <v> Pogledajte proizvod na sajtu -&gt;</v>
      </c>
    </row>
    <row r="29" spans="1:6" ht="12.75">
      <c r="A29" s="2">
        <v>28</v>
      </c>
      <c r="B29" t="s">
        <v>715</v>
      </c>
      <c r="C29" t="s">
        <v>716</v>
      </c>
      <c r="D29" s="2">
        <v>12</v>
      </c>
      <c r="E29" s="2">
        <v>220</v>
      </c>
      <c r="F29" s="3" t="str">
        <f>HYPERLINK("http://www.sah.co.rs/en600-2s0022.html?___store=serbian"," Pogledajte proizvod na sajtu -&gt;")</f>
        <v> Pogledajte proizvod na sajtu -&gt;</v>
      </c>
    </row>
    <row r="30" spans="1:6" ht="12.75">
      <c r="A30" s="2">
        <v>29</v>
      </c>
      <c r="B30" t="s">
        <v>717</v>
      </c>
      <c r="C30" t="s">
        <v>718</v>
      </c>
      <c r="D30" s="2">
        <v>16</v>
      </c>
      <c r="E30" s="2">
        <v>200</v>
      </c>
      <c r="F30" s="3" t="str">
        <f>HYPERLINK("http://www.sah.co.rs/gd10-2r2g-s2-b.html?___store=serbian"," Pogledajte proizvod na sajtu -&gt;")</f>
        <v> Pogledajte proizvod na sajtu -&gt;</v>
      </c>
    </row>
    <row r="31" spans="1:6" ht="12.75">
      <c r="A31" s="2">
        <v>30</v>
      </c>
      <c r="B31" t="s">
        <v>719</v>
      </c>
      <c r="C31" t="s">
        <v>720</v>
      </c>
      <c r="D31" s="2">
        <v>10</v>
      </c>
      <c r="E31" s="2">
        <v>230</v>
      </c>
      <c r="F31" s="3" t="str">
        <f>HYPERLINK("http://www.sah.co.rs/em11-g3-2d2.html?___store=serbian"," Pogledajte proizvod na sajtu -&gt;")</f>
        <v> Pogledajte proizvod na sajtu -&gt;</v>
      </c>
    </row>
    <row r="32" spans="1:6" ht="12.75">
      <c r="A32" s="2">
        <v>31</v>
      </c>
      <c r="B32" t="s">
        <v>721</v>
      </c>
      <c r="C32" t="s">
        <v>720</v>
      </c>
      <c r="D32" s="2">
        <v>7</v>
      </c>
      <c r="E32" s="2">
        <v>220</v>
      </c>
      <c r="F32" s="3" t="str">
        <f>HYPERLINK("http://www.sah.co.rs/gd10-2r2g-4-b.html?___store=serbian"," Pogledajte proizvod na sajtu -&gt;")</f>
        <v> Pogledajte proizvod na sajtu -&gt;</v>
      </c>
    </row>
    <row r="33" spans="1:6" ht="12.75">
      <c r="A33" s="2">
        <v>32</v>
      </c>
      <c r="B33" t="s">
        <v>722</v>
      </c>
      <c r="C33" t="s">
        <v>720</v>
      </c>
      <c r="D33" s="2">
        <v>10</v>
      </c>
      <c r="E33" s="2">
        <v>340</v>
      </c>
      <c r="F33" s="3" t="str">
        <f>HYPERLINK("http://www.sah.co.rs/eds-v300-4t0022.html?___store=serbian"," Pogledajte proizvod na sajtu -&gt;")</f>
        <v> Pogledajte proizvod na sajtu -&gt;</v>
      </c>
    </row>
    <row r="34" spans="1:6" ht="12.75">
      <c r="A34" s="2">
        <v>33</v>
      </c>
      <c r="B34" t="s">
        <v>723</v>
      </c>
      <c r="C34" t="s">
        <v>724</v>
      </c>
      <c r="D34" s="2">
        <v>80</v>
      </c>
      <c r="E34" s="2">
        <v>270</v>
      </c>
      <c r="F34" s="3" t="str">
        <f>HYPERLINK("http://www.sah.co.rs/en600-4t0022g-0037p.html?___store=serbian"," Pogledajte proizvod na sajtu -&gt;")</f>
        <v> Pogledajte proizvod na sajtu -&gt;</v>
      </c>
    </row>
    <row r="35" spans="1:6" ht="12.75">
      <c r="A35" s="2">
        <v>34</v>
      </c>
      <c r="B35" t="s">
        <v>725</v>
      </c>
      <c r="C35" t="s">
        <v>726</v>
      </c>
      <c r="D35" s="2">
        <v>1</v>
      </c>
      <c r="E35" s="2">
        <v>7500</v>
      </c>
      <c r="F35" s="3" t="str">
        <f>HYPERLINK("http://www.sah.co.rs/en500-4t2000g-2200p.html?___store=serbian"," Pogledajte proizvod na sajtu -&gt;")</f>
        <v> Pogledajte proizvod na sajtu -&gt;</v>
      </c>
    </row>
    <row r="36" spans="1:6" ht="12.75">
      <c r="A36" s="2">
        <v>35</v>
      </c>
      <c r="B36" t="s">
        <v>727</v>
      </c>
      <c r="C36" t="s">
        <v>728</v>
      </c>
      <c r="D36" s="2">
        <v>2</v>
      </c>
      <c r="E36" s="2">
        <v>1300</v>
      </c>
      <c r="F36" s="3" t="str">
        <f>HYPERLINK("http://www.sah.co.rs/eds-v300-4t0220.html?___store=serbian"," Pogledajte proizvod na sajtu -&gt;")</f>
        <v> Pogledajte proizvod na sajtu -&gt;</v>
      </c>
    </row>
    <row r="37" spans="1:6" ht="12.75">
      <c r="A37" s="2">
        <v>36</v>
      </c>
      <c r="B37" t="s">
        <v>729</v>
      </c>
      <c r="C37" t="s">
        <v>730</v>
      </c>
      <c r="D37" s="2">
        <v>1</v>
      </c>
      <c r="E37" s="2">
        <v>8500</v>
      </c>
      <c r="F37" s="3" t="str">
        <f>HYPERLINK("http://www.sah.co.rs/en500-4t2200g-2500p.html?___store=serbian"," Pogledajte proizvod na sajtu -&gt;")</f>
        <v> Pogledajte proizvod na sajtu -&gt;</v>
      </c>
    </row>
    <row r="38" spans="1:6" ht="12.75">
      <c r="A38" s="2">
        <v>37</v>
      </c>
      <c r="B38" t="s">
        <v>731</v>
      </c>
      <c r="C38" t="s">
        <v>732</v>
      </c>
      <c r="D38" s="2">
        <v>9</v>
      </c>
      <c r="E38" s="2">
        <v>1050</v>
      </c>
      <c r="F38" s="3" t="str">
        <f>HYPERLINK("http://www.sah.co.rs/en600-4t0220g-0300p.html?___store=serbian"," Pogledajte proizvod na sajtu -&gt;")</f>
        <v> Pogledajte proizvod na sajtu -&gt;</v>
      </c>
    </row>
    <row r="39" spans="1:6" ht="12.75">
      <c r="A39" s="2">
        <v>38</v>
      </c>
      <c r="B39" t="s">
        <v>733</v>
      </c>
      <c r="C39" t="s">
        <v>734</v>
      </c>
      <c r="D39" s="2">
        <v>0</v>
      </c>
      <c r="E39" s="2">
        <v>10000</v>
      </c>
      <c r="F39" s="3" t="str">
        <f>HYPERLINK("http://www.sah.co.rs/en500-4t2500g-2800p.html?___store=serbian"," Pogledajte proizvod na sajtu -&gt;")</f>
        <v> Pogledajte proizvod na sajtu -&gt;</v>
      </c>
    </row>
    <row r="40" spans="1:6" ht="12.75">
      <c r="A40" s="2">
        <v>39</v>
      </c>
      <c r="B40" t="s">
        <v>735</v>
      </c>
      <c r="C40" t="s">
        <v>736</v>
      </c>
      <c r="D40" s="2">
        <v>0</v>
      </c>
      <c r="E40" s="2">
        <v>11000</v>
      </c>
      <c r="F40" s="3" t="str">
        <f>HYPERLINK("http://www.sah.co.rs/en500-4t2800g-3150p.html?___store=serbian"," Pogledajte proizvod na sajtu -&gt;")</f>
        <v> Pogledajte proizvod na sajtu -&gt;</v>
      </c>
    </row>
    <row r="41" spans="1:6" ht="12.75">
      <c r="A41" s="2">
        <v>40</v>
      </c>
      <c r="B41" t="s">
        <v>737</v>
      </c>
      <c r="C41" t="s">
        <v>738</v>
      </c>
      <c r="D41" s="2">
        <v>10</v>
      </c>
      <c r="E41" s="2">
        <v>260</v>
      </c>
      <c r="F41" s="3" t="str">
        <f>HYPERLINK("http://www.sah.co.rs/en600-2s0037.html?___store=serbian"," Pogledajte proizvod na sajtu -&gt;")</f>
        <v> Pogledajte proizvod na sajtu -&gt;</v>
      </c>
    </row>
    <row r="42" spans="1:6" ht="12.75">
      <c r="A42" s="2">
        <v>41</v>
      </c>
      <c r="B42" t="s">
        <v>739</v>
      </c>
      <c r="C42" t="s">
        <v>740</v>
      </c>
      <c r="D42" s="2">
        <v>16</v>
      </c>
      <c r="E42" s="2">
        <v>290</v>
      </c>
      <c r="F42" s="3" t="str">
        <f>HYPERLINK("http://www.sah.co.rs/em11-g3-004.html?___store=serbian"," Pogledajte proizvod na sajtu -&gt;")</f>
        <v> Pogledajte proizvod na sajtu -&gt;</v>
      </c>
    </row>
    <row r="43" spans="1:6" ht="12.75">
      <c r="A43" s="2">
        <v>42</v>
      </c>
      <c r="B43" t="s">
        <v>741</v>
      </c>
      <c r="C43" t="s">
        <v>742</v>
      </c>
      <c r="D43" s="2">
        <v>14</v>
      </c>
      <c r="E43" s="2">
        <v>310</v>
      </c>
      <c r="F43" s="3" t="str">
        <f>HYPERLINK("http://www.sah.co.rs/eds1000-4t0037g-0055p.html?___store=serbian"," Pogledajte proizvod na sajtu -&gt;")</f>
        <v> Pogledajte proizvod na sajtu -&gt;</v>
      </c>
    </row>
    <row r="44" spans="1:6" ht="12.75">
      <c r="A44" s="2">
        <v>43</v>
      </c>
      <c r="B44" t="s">
        <v>743</v>
      </c>
      <c r="C44" t="s">
        <v>744</v>
      </c>
      <c r="D44" s="2">
        <v>27</v>
      </c>
      <c r="E44" s="2">
        <v>310</v>
      </c>
      <c r="F44" s="3" t="str">
        <f>HYPERLINK("http://www.sah.co.rs/en600-4t0037g-0055p.html?___store=serbian"," Pogledajte proizvod na sajtu -&gt;")</f>
        <v> Pogledajte proizvod na sajtu -&gt;</v>
      </c>
    </row>
    <row r="45" spans="1:6" ht="12.75">
      <c r="A45" s="2">
        <v>44</v>
      </c>
      <c r="B45" t="s">
        <v>745</v>
      </c>
      <c r="C45" t="s">
        <v>746</v>
      </c>
      <c r="D45" s="2">
        <v>2</v>
      </c>
      <c r="E45" s="2">
        <v>1800</v>
      </c>
      <c r="F45" s="3" t="str">
        <f>HYPERLINK("http://www.sah.co.rs/eds-v300-4t0300.html?___store=serbian"," Pogledajte proizvod na sajtu -&gt;")</f>
        <v> Pogledajte proizvod na sajtu -&gt;</v>
      </c>
    </row>
    <row r="46" spans="1:6" ht="12.75">
      <c r="A46" s="2">
        <v>45</v>
      </c>
      <c r="B46" t="s">
        <v>747</v>
      </c>
      <c r="C46" t="s">
        <v>748</v>
      </c>
      <c r="D46" s="2">
        <v>4</v>
      </c>
      <c r="E46" s="2">
        <v>1350</v>
      </c>
      <c r="F46" s="3" t="str">
        <f>HYPERLINK("http://www.sah.co.rs/en600-4t0300g-0370p.html?___store=serbian"," Pogledajte proizvod na sajtu -&gt;")</f>
        <v> Pogledajte proizvod na sajtu -&gt;</v>
      </c>
    </row>
    <row r="47" spans="1:6" ht="12.75">
      <c r="A47" s="2">
        <v>46</v>
      </c>
      <c r="B47" t="s">
        <v>749</v>
      </c>
      <c r="C47" t="s">
        <v>750</v>
      </c>
      <c r="D47" s="2">
        <v>7</v>
      </c>
      <c r="E47" s="2">
        <v>1450</v>
      </c>
      <c r="F47" s="3" t="str">
        <f>HYPERLINK("http://www.sah.co.rs/en600-4t0370g-0450p.html?___store=serbian"," Pogledajte proizvod na sajtu -&gt;")</f>
        <v> Pogledajte proizvod na sajtu -&gt;</v>
      </c>
    </row>
    <row r="48" spans="1:6" ht="12.75">
      <c r="A48" s="2">
        <v>47</v>
      </c>
      <c r="B48" t="s">
        <v>751</v>
      </c>
      <c r="C48" t="s">
        <v>752</v>
      </c>
      <c r="D48" s="2">
        <v>2</v>
      </c>
      <c r="E48" s="2">
        <v>2200</v>
      </c>
      <c r="F48" s="3" t="str">
        <f>HYPERLINK("http://www.sah.co.rs/eds1000-4t0450g-0550p.html?___store=serbian"," Pogledajte proizvod na sajtu -&gt;")</f>
        <v> Pogledajte proizvod na sajtu -&gt;</v>
      </c>
    </row>
    <row r="49" spans="1:6" ht="12.75">
      <c r="A49" s="2">
        <v>48</v>
      </c>
      <c r="B49" t="s">
        <v>753</v>
      </c>
      <c r="C49" t="s">
        <v>754</v>
      </c>
      <c r="D49" s="2">
        <v>1</v>
      </c>
      <c r="E49" s="2">
        <v>2200</v>
      </c>
      <c r="F49" s="3" t="str">
        <f>HYPERLINK("http://www.sah.co.rs/en600-4t0450g-0550p.html?___store=serbian"," Pogledajte proizvod na sajtu -&gt;")</f>
        <v> Pogledajte proizvod na sajtu -&gt;</v>
      </c>
    </row>
    <row r="50" spans="1:6" ht="12.75">
      <c r="A50" s="2">
        <v>49</v>
      </c>
      <c r="B50" t="s">
        <v>755</v>
      </c>
      <c r="C50" t="s">
        <v>756</v>
      </c>
      <c r="D50" s="2">
        <v>3</v>
      </c>
      <c r="E50" s="2">
        <v>440</v>
      </c>
      <c r="F50" s="3" t="str">
        <f>HYPERLINK("http://www.sah.co.rs/vb5-45p5.html?___store=serbian"," Pogledajte proizvod na sajtu -&gt;")</f>
        <v> Pogledajte proizvod na sajtu -&gt;</v>
      </c>
    </row>
    <row r="51" spans="1:6" ht="12.75">
      <c r="A51" s="2">
        <v>50</v>
      </c>
      <c r="B51" t="s">
        <v>757</v>
      </c>
      <c r="C51" t="s">
        <v>758</v>
      </c>
      <c r="D51" s="2">
        <v>30</v>
      </c>
      <c r="E51" s="2">
        <v>440</v>
      </c>
      <c r="F51" s="3" t="str">
        <f>HYPERLINK("http://www.sah.co.rs/en600-4t0055g-0075p.html?___store=serbian"," Pogledajte proizvod na sajtu -&gt;")</f>
        <v> Pogledajte proizvod na sajtu -&gt;</v>
      </c>
    </row>
    <row r="52" spans="1:6" ht="12.75">
      <c r="A52" s="2">
        <v>51</v>
      </c>
      <c r="B52" t="s">
        <v>759</v>
      </c>
      <c r="C52" t="s">
        <v>760</v>
      </c>
      <c r="D52" s="2">
        <v>3</v>
      </c>
      <c r="E52" s="2">
        <v>2500</v>
      </c>
      <c r="F52" s="3" t="str">
        <f>HYPERLINK("http://www.sah.co.rs/en600-4t0550g-0750p.html?___store=serbian"," Pogledajte proizvod na sajtu -&gt;")</f>
        <v> Pogledajte proizvod na sajtu -&gt;</v>
      </c>
    </row>
    <row r="53" spans="1:6" ht="12.75">
      <c r="A53" s="2">
        <v>52</v>
      </c>
      <c r="B53" t="s">
        <v>761</v>
      </c>
      <c r="C53" t="s">
        <v>762</v>
      </c>
      <c r="D53" s="2">
        <v>5</v>
      </c>
      <c r="E53" s="2">
        <v>420</v>
      </c>
      <c r="F53" s="3" t="str">
        <f>HYPERLINK("http://www.sah.co.rs/em11-g3-7d5.html?___store=serbian"," Pogledajte proizvod na sajtu -&gt;")</f>
        <v> Pogledajte proizvod na sajtu -&gt;</v>
      </c>
    </row>
    <row r="54" spans="1:6" ht="12.75">
      <c r="A54" s="2">
        <v>53</v>
      </c>
      <c r="B54" t="s">
        <v>763</v>
      </c>
      <c r="C54" t="s">
        <v>762</v>
      </c>
      <c r="D54" s="2">
        <v>1</v>
      </c>
      <c r="E54" s="2">
        <v>560</v>
      </c>
      <c r="F54" s="3" t="str">
        <f>HYPERLINK("http://www.sah.co.rs/eds-v300-4t0075.html?___store=serbian"," Pogledajte proizvod na sajtu -&gt;")</f>
        <v> Pogledajte proizvod na sajtu -&gt;</v>
      </c>
    </row>
    <row r="55" spans="1:6" ht="12.75">
      <c r="A55" s="2">
        <v>54</v>
      </c>
      <c r="B55" t="s">
        <v>764</v>
      </c>
      <c r="C55" t="s">
        <v>765</v>
      </c>
      <c r="D55" s="2">
        <v>2</v>
      </c>
      <c r="E55" s="2">
        <v>480</v>
      </c>
      <c r="F55" s="3" t="str">
        <f>HYPERLINK("http://www.sah.co.rs/eds1000-4t0075g-0110p.html?___store=serbian"," Pogledajte proizvod na sajtu -&gt;")</f>
        <v> Pogledajte proizvod na sajtu -&gt;</v>
      </c>
    </row>
    <row r="56" spans="1:6" ht="12.75">
      <c r="A56" s="2">
        <v>55</v>
      </c>
      <c r="B56" t="s">
        <v>766</v>
      </c>
      <c r="C56" t="s">
        <v>767</v>
      </c>
      <c r="D56" s="2">
        <v>49</v>
      </c>
      <c r="E56" s="2">
        <v>480</v>
      </c>
      <c r="F56" s="3" t="str">
        <f>HYPERLINK("http://www.sah.co.rs/en600-4t0075g-0110p.html?___store=serbian"," Pogledajte proizvod na sajtu -&gt;")</f>
        <v> Pogledajte proizvod na sajtu -&gt;</v>
      </c>
    </row>
    <row r="57" spans="1:6" ht="12.75">
      <c r="A57" s="2">
        <v>56</v>
      </c>
      <c r="B57" t="s">
        <v>768</v>
      </c>
      <c r="C57" t="s">
        <v>769</v>
      </c>
      <c r="D57" s="2">
        <v>2</v>
      </c>
      <c r="E57" s="2">
        <v>2700</v>
      </c>
      <c r="F57" s="3" t="str">
        <f>HYPERLINK("http://www.sah.co.rs/en500-4t0750g-0900p.html?___store=serbian"," Pogledajte proizvod na sajtu -&gt;")</f>
        <v> Pogledajte proizvod na sajtu -&gt;</v>
      </c>
    </row>
    <row r="58" spans="1:6" ht="12.75">
      <c r="A58" s="2">
        <v>57</v>
      </c>
      <c r="B58" t="s">
        <v>770</v>
      </c>
      <c r="C58" t="s">
        <v>771</v>
      </c>
      <c r="D58" s="2">
        <v>3</v>
      </c>
      <c r="E58" s="2">
        <v>3500</v>
      </c>
      <c r="F58" s="3" t="str">
        <f>HYPERLINK("http://www.sah.co.rs/en500-4t0900g-1100p.html?___store=serbian","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7.8515625" style="0" customWidth="1"/>
    <col min="3" max="3" width="69.281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772</v>
      </c>
      <c r="C2" t="s">
        <v>773</v>
      </c>
      <c r="D2" s="2">
        <v>10</v>
      </c>
      <c r="E2" s="2">
        <v>80</v>
      </c>
      <c r="F2" s="3" t="str">
        <f>HYPERLINK("http://www.sah.co.rs/dpp-kabl-10m.html?___store=serbian"," Pogledajte proizvod na sajtu -&gt;")</f>
        <v> Pogledajte proizvod na sajtu -&gt;</v>
      </c>
    </row>
    <row r="3" spans="1:6" ht="12.75">
      <c r="A3" s="2">
        <v>2</v>
      </c>
      <c r="B3" t="s">
        <v>774</v>
      </c>
      <c r="C3" t="s">
        <v>775</v>
      </c>
      <c r="D3" s="2">
        <v>20</v>
      </c>
      <c r="E3" s="2">
        <v>16</v>
      </c>
      <c r="F3" s="3" t="str">
        <f>HYPERLINK("http://www.sah.co.rs/dpp-kabl-2m.html?___store=serbian"," Pogledajte proizvod na sajtu -&gt;")</f>
        <v> Pogledajte proizvod na sajtu -&gt;</v>
      </c>
    </row>
    <row r="4" spans="1:6" ht="12.75">
      <c r="A4" s="2">
        <v>3</v>
      </c>
      <c r="B4" t="s">
        <v>776</v>
      </c>
      <c r="C4" t="s">
        <v>777</v>
      </c>
      <c r="D4" s="2">
        <v>9</v>
      </c>
      <c r="E4" s="2">
        <v>24</v>
      </c>
      <c r="F4" s="3" t="str">
        <f>HYPERLINK("http://www.sah.co.rs/dpp-kabl-3m.html?___store=serbian"," Pogledajte proizvod na sajtu -&gt;")</f>
        <v> Pogledajte proizvod na sajtu -&gt;</v>
      </c>
    </row>
    <row r="5" spans="1:6" ht="12.75">
      <c r="A5" s="2">
        <v>4</v>
      </c>
      <c r="B5" t="s">
        <v>778</v>
      </c>
      <c r="C5" t="s">
        <v>779</v>
      </c>
      <c r="D5" s="2">
        <v>12</v>
      </c>
      <c r="E5" s="2">
        <v>40</v>
      </c>
      <c r="F5" s="3" t="str">
        <f>HYPERLINK("http://www.sah.co.rs/dpp-kabl-5m.html?___store=serbian"," Pogledajte proizvod na sajtu -&gt;")</f>
        <v> Pogledajte proizvod na sajtu -&gt;</v>
      </c>
    </row>
    <row r="6" spans="1:6" ht="12.75">
      <c r="A6" s="2">
        <v>5</v>
      </c>
      <c r="B6" t="s">
        <v>780</v>
      </c>
      <c r="C6" t="s">
        <v>781</v>
      </c>
      <c r="D6" s="2">
        <v>25</v>
      </c>
      <c r="E6" s="2">
        <v>2.7</v>
      </c>
      <c r="F6" s="3" t="str">
        <f>HYPERLINK("http://www.sah.co.rs/pot-kabl-1-2m.html?___store=serbian"," Pogledajte proizvod na sajtu -&gt;")</f>
        <v> Pogledajte proizvod na sajtu -&gt;</v>
      </c>
    </row>
    <row r="7" spans="1:6" ht="12.75">
      <c r="A7" s="2">
        <v>6</v>
      </c>
      <c r="B7" t="s">
        <v>782</v>
      </c>
      <c r="C7" t="s">
        <v>783</v>
      </c>
      <c r="D7" s="2">
        <v>9</v>
      </c>
      <c r="E7" s="2">
        <v>10</v>
      </c>
      <c r="F7" s="3" t="str">
        <f>HYPERLINK("http://www.sah.co.rs/cab-090a232.html?___store=serbian"," Pogledajte proizvod na sajtu -&gt;")</f>
        <v> Pogledajte proizvod na sajtu -&gt;</v>
      </c>
    </row>
    <row r="8" spans="1:6" ht="12.75">
      <c r="A8" s="2">
        <v>7</v>
      </c>
      <c r="B8" t="s">
        <v>784</v>
      </c>
      <c r="C8" t="s">
        <v>785</v>
      </c>
      <c r="D8" s="2">
        <v>17</v>
      </c>
      <c r="E8" s="2">
        <v>10</v>
      </c>
      <c r="F8" s="3" t="str">
        <f>HYPERLINK("http://www.sah.co.rs/cab-090a485.html?___store=serbian"," Pogledajte proizvod na sajtu -&gt;")</f>
        <v> Pogledajte proizvod na sajtu -&gt;</v>
      </c>
    </row>
    <row r="9" spans="1:6" ht="12.75">
      <c r="A9" s="2">
        <v>8</v>
      </c>
      <c r="B9" t="s">
        <v>786</v>
      </c>
      <c r="C9" t="s">
        <v>787</v>
      </c>
      <c r="D9" s="2">
        <v>10</v>
      </c>
      <c r="E9" s="2">
        <v>3.5</v>
      </c>
      <c r="F9" s="3" t="str">
        <f>HYPERLINK("http://www.sah.co.rs/flat-ribbon-0-6m.html?___store=serbian"," Pogledajte proizvod na sajtu -&gt;")</f>
        <v> Pogledajte proizvod na sajtu -&gt;</v>
      </c>
    </row>
    <row r="10" spans="1:6" ht="12.75">
      <c r="A10" s="2">
        <v>9</v>
      </c>
      <c r="B10" t="s">
        <v>788</v>
      </c>
      <c r="C10" t="s">
        <v>789</v>
      </c>
      <c r="D10" s="2">
        <v>13</v>
      </c>
      <c r="E10" s="2">
        <v>4</v>
      </c>
      <c r="F10" s="3" t="str">
        <f>HYPERLINK("http://www.sah.co.rs/flat-ribbon-1-2m.html?___store=serbian"," Pogledajte proizvod na sajtu -&gt;")</f>
        <v> Pogledajte proizvod na sajtu -&gt;</v>
      </c>
    </row>
    <row r="11" spans="1:6" ht="12.75">
      <c r="A11" s="2">
        <v>10</v>
      </c>
      <c r="B11" t="s">
        <v>790</v>
      </c>
      <c r="C11" t="s">
        <v>791</v>
      </c>
      <c r="D11" s="2">
        <v>11</v>
      </c>
      <c r="E11" s="2">
        <v>4.5</v>
      </c>
      <c r="F11" s="3" t="str">
        <f>HYPERLINK("http://www.sah.co.rs/flat-ribbon-2m.html?___store=serbian"," Pogledajte proizvod na sajtu -&gt;")</f>
        <v> Pogledajte proizvod na sajtu -&gt;</v>
      </c>
    </row>
    <row r="12" spans="1:6" ht="12.75">
      <c r="A12" s="2">
        <v>11</v>
      </c>
      <c r="B12" t="s">
        <v>792</v>
      </c>
      <c r="C12" t="s">
        <v>793</v>
      </c>
      <c r="D12" s="2">
        <v>12</v>
      </c>
      <c r="E12" s="2">
        <v>5</v>
      </c>
      <c r="F12" s="3" t="str">
        <f>HYPERLINK("http://www.sah.co.rs/flat-ribbon-3m.html?___store=serbian"," Pogledajte proizvod na sajtu -&gt;")</f>
        <v> Pogledajte proizvod na sajtu -&gt;</v>
      </c>
    </row>
    <row r="13" spans="1:6" ht="12.75">
      <c r="A13" s="2">
        <v>12</v>
      </c>
      <c r="B13" t="s">
        <v>794</v>
      </c>
      <c r="C13" t="s">
        <v>795</v>
      </c>
      <c r="D13" s="2">
        <v>10</v>
      </c>
      <c r="E13" s="2">
        <v>5.5</v>
      </c>
      <c r="F13" s="3" t="str">
        <f>HYPERLINK("http://www.sah.co.rs/flat-ribbon-4m.html?___store=serbian"," Pogledajte proizvod na sajtu -&gt;")</f>
        <v> Pogledajte proizvod na sajtu -&gt;</v>
      </c>
    </row>
    <row r="14" spans="1:6" ht="12.75">
      <c r="A14" s="2">
        <v>13</v>
      </c>
      <c r="B14" t="s">
        <v>796</v>
      </c>
      <c r="C14" t="s">
        <v>797</v>
      </c>
      <c r="D14" s="2">
        <v>13</v>
      </c>
      <c r="E14" s="2">
        <v>5</v>
      </c>
      <c r="F14" s="3" t="str">
        <f>HYPERLINK("http://www.sah.co.rs/patch-cord-10m.html?___store=serbian"," Pogledajte proizvod na sajtu -&gt;")</f>
        <v> Pogledajte proizvod na sajtu -&gt;</v>
      </c>
    </row>
    <row r="15" spans="1:6" ht="12.75">
      <c r="A15" s="2">
        <v>14</v>
      </c>
      <c r="B15" t="s">
        <v>798</v>
      </c>
      <c r="C15" t="s">
        <v>799</v>
      </c>
      <c r="D15" s="2">
        <v>25</v>
      </c>
      <c r="E15" s="2">
        <v>1</v>
      </c>
      <c r="F15" s="3" t="str">
        <f>HYPERLINK("http://www.sah.co.rs/patch-cord-1m.html?___store=serbian"," Pogledajte proizvod na sajtu -&gt;")</f>
        <v> Pogledajte proizvod na sajtu -&gt;</v>
      </c>
    </row>
    <row r="16" spans="1:6" ht="12.75">
      <c r="A16" s="2">
        <v>15</v>
      </c>
      <c r="B16" t="s">
        <v>800</v>
      </c>
      <c r="C16" t="s">
        <v>801</v>
      </c>
      <c r="D16" s="2">
        <v>3</v>
      </c>
      <c r="E16" s="2">
        <v>9</v>
      </c>
      <c r="F16" s="3" t="str">
        <f>HYPERLINK("http://www.sah.co.rs/patch-cord-20m.html?___store=serbian"," Pogledajte proizvod na sajtu -&gt;")</f>
        <v> Pogledajte proizvod na sajtu -&gt;</v>
      </c>
    </row>
    <row r="17" spans="1:6" ht="12.75">
      <c r="A17" s="2">
        <v>16</v>
      </c>
      <c r="B17" t="s">
        <v>802</v>
      </c>
      <c r="C17" t="s">
        <v>803</v>
      </c>
      <c r="D17" s="2">
        <v>0</v>
      </c>
      <c r="E17" s="2">
        <v>1.5</v>
      </c>
      <c r="F17" s="3" t="str">
        <f>HYPERLINK("http://www.sah.co.rs/patch-cord-2m.html?___store=serbian"," Pogledajte proizvod na sajtu -&gt;")</f>
        <v> Pogledajte proizvod na sajtu -&gt;</v>
      </c>
    </row>
    <row r="18" spans="1:6" ht="12.75">
      <c r="A18" s="2">
        <v>17</v>
      </c>
      <c r="B18" t="s">
        <v>804</v>
      </c>
      <c r="C18" t="s">
        <v>805</v>
      </c>
      <c r="D18" s="2">
        <v>15</v>
      </c>
      <c r="E18" s="2">
        <v>2</v>
      </c>
      <c r="F18" s="3" t="str">
        <f>HYPERLINK("http://www.sah.co.rs/patch-cord-3m.html?___store=serbian"," Pogledajte proizvod na sajtu -&gt;")</f>
        <v> Pogledajte proizvod na sajtu -&gt;</v>
      </c>
    </row>
    <row r="19" spans="1:6" ht="12.75">
      <c r="A19" s="2">
        <v>18</v>
      </c>
      <c r="B19" t="s">
        <v>806</v>
      </c>
      <c r="C19" t="s">
        <v>807</v>
      </c>
      <c r="D19" s="2">
        <v>6</v>
      </c>
      <c r="E19" s="2">
        <v>3</v>
      </c>
      <c r="F19" s="3" t="str">
        <f>HYPERLINK("http://www.sah.co.rs/patch-cord-5m.html?___store=serbian","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1.28125" style="0" customWidth="1"/>
    <col min="3" max="3" width="30.003906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808</v>
      </c>
      <c r="C2" t="s">
        <v>809</v>
      </c>
      <c r="D2" s="2">
        <v>3</v>
      </c>
      <c r="E2" s="2">
        <v>1200</v>
      </c>
      <c r="F2" s="3" t="str">
        <f>HYPERLINK("http://www.sah.co.rs/sks-hn-2g.html?___store=serbian"," Pogledajte proizvod na sajtu -&gt;")</f>
        <v> Pogledajte proizvod na sajtu -&gt;</v>
      </c>
    </row>
    <row r="3" spans="1:6" ht="12.75">
      <c r="A3" s="2">
        <v>2</v>
      </c>
      <c r="B3" t="s">
        <v>810</v>
      </c>
      <c r="C3" t="s">
        <v>811</v>
      </c>
      <c r="D3" s="2">
        <v>0</v>
      </c>
      <c r="E3" s="2">
        <v>360</v>
      </c>
      <c r="F3" s="3" t="str">
        <f>HYPERLINK("http://www.sah.co.rs/sks-hn-2l.html?___store=serbian"," Pogledajte proizvod na sajtu -&gt;")</f>
        <v> Pogledajte proizvod na sajtu -&gt;</v>
      </c>
    </row>
    <row r="4" spans="1:6" ht="12.75">
      <c r="A4" s="2">
        <v>3</v>
      </c>
      <c r="B4" t="s">
        <v>812</v>
      </c>
      <c r="C4" t="s">
        <v>813</v>
      </c>
      <c r="D4" s="2">
        <v>0</v>
      </c>
      <c r="E4" s="2">
        <v>210</v>
      </c>
      <c r="F4" s="3" t="str">
        <f>HYPERLINK("http://www.sah.co.rs/sks-hn-1l.html?___store=serbian"," Pogledajte proizvod na sajtu -&gt;")</f>
        <v> Pogledajte proizvod na sajtu -&gt;</v>
      </c>
    </row>
    <row r="5" spans="1:6" ht="12.75">
      <c r="A5" s="2">
        <v>4</v>
      </c>
      <c r="B5" t="s">
        <v>814</v>
      </c>
      <c r="C5" t="s">
        <v>815</v>
      </c>
      <c r="D5" s="2">
        <v>2</v>
      </c>
      <c r="E5" s="2">
        <v>600</v>
      </c>
      <c r="F5" s="3" t="str">
        <f>HYPERLINK("http://www.sah.co.rs/sks-hn-3l.html?___store=serbian","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4.421875" style="0" customWidth="1"/>
    <col min="3" max="3" width="38.281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816</v>
      </c>
      <c r="C2" t="s">
        <v>817</v>
      </c>
      <c r="D2" s="2">
        <v>42</v>
      </c>
      <c r="E2" s="2">
        <v>50</v>
      </c>
      <c r="F2" s="3" t="str">
        <f>HYPERLINK("http://www.sah.co.rs/bra1000w20r.html?___store=serbian"," Pogledajte proizvod na sajtu -&gt;")</f>
        <v> Pogledajte proizvod na sajtu -&gt;</v>
      </c>
    </row>
    <row r="3" spans="1:6" ht="12.75">
      <c r="A3" s="2">
        <v>2</v>
      </c>
      <c r="B3" t="s">
        <v>818</v>
      </c>
      <c r="C3" t="s">
        <v>819</v>
      </c>
      <c r="D3" s="2">
        <v>20</v>
      </c>
      <c r="E3" s="2">
        <v>50</v>
      </c>
      <c r="F3" s="3" t="str">
        <f>HYPERLINK("http://www.sah.co.rs/bra1000w30r.html?___store=serbian"," Pogledajte proizvod na sajtu -&gt;")</f>
        <v> Pogledajte proizvod na sajtu -&gt;</v>
      </c>
    </row>
    <row r="4" spans="1:6" ht="12.75">
      <c r="A4" s="2">
        <v>3</v>
      </c>
      <c r="B4" t="s">
        <v>820</v>
      </c>
      <c r="C4" t="s">
        <v>821</v>
      </c>
      <c r="D4" s="2">
        <v>15</v>
      </c>
      <c r="E4" s="2">
        <v>50</v>
      </c>
      <c r="F4" s="3" t="str">
        <f>HYPERLINK("http://www.sah.co.rs/bra1000w40r.html?___store=serbian"," Pogledajte proizvod na sajtu -&gt;")</f>
        <v> Pogledajte proizvod na sajtu -&gt;</v>
      </c>
    </row>
    <row r="5" spans="1:6" ht="12.75">
      <c r="A5" s="2">
        <v>4</v>
      </c>
      <c r="B5" t="s">
        <v>822</v>
      </c>
      <c r="C5" t="s">
        <v>823</v>
      </c>
      <c r="D5" s="2">
        <v>56</v>
      </c>
      <c r="E5" s="2">
        <v>50</v>
      </c>
      <c r="F5" s="3" t="str">
        <f>HYPERLINK("http://www.sah.co.rs/bra1000w50r.html?___store=serbian"," Pogledajte proizvod na sajtu -&gt;")</f>
        <v> Pogledajte proizvod na sajtu -&gt;</v>
      </c>
    </row>
    <row r="6" spans="1:6" ht="12.75">
      <c r="A6" s="2">
        <v>5</v>
      </c>
      <c r="B6" t="s">
        <v>824</v>
      </c>
      <c r="C6" t="s">
        <v>825</v>
      </c>
      <c r="D6" s="2">
        <v>2</v>
      </c>
      <c r="E6" s="2">
        <v>50</v>
      </c>
      <c r="F6" s="3" t="str">
        <f>HYPERLINK("http://www.sah.co.rs/bra1000w75r.html?___store=serbian"," Pogledajte proizvod na sajtu -&gt;")</f>
        <v> Pogledajte proizvod na sajtu -&gt;</v>
      </c>
    </row>
    <row r="7" spans="1:6" ht="12.75">
      <c r="A7" s="2">
        <v>6</v>
      </c>
      <c r="B7" t="s">
        <v>826</v>
      </c>
      <c r="C7" t="s">
        <v>827</v>
      </c>
      <c r="D7" s="2">
        <v>60</v>
      </c>
      <c r="E7" s="2">
        <v>50</v>
      </c>
      <c r="F7" s="3" t="str">
        <f>HYPERLINK("http://www.sah.co.rs/bra1000w80r.html?___store=serbian"," Pogledajte proizvod na sajtu -&gt;")</f>
        <v> Pogledajte proizvod na sajtu -&gt;</v>
      </c>
    </row>
    <row r="8" spans="1:6" ht="12.75">
      <c r="A8" s="2">
        <v>7</v>
      </c>
      <c r="B8" t="s">
        <v>828</v>
      </c>
      <c r="C8" t="s">
        <v>829</v>
      </c>
      <c r="D8" s="2">
        <v>18</v>
      </c>
      <c r="E8" s="2">
        <v>14</v>
      </c>
      <c r="F8" s="3" t="str">
        <f>HYPERLINK("http://www.sah.co.rs/bra100w100r.html?___store=serbian"," Pogledajte proizvod na sajtu -&gt;")</f>
        <v> Pogledajte proizvod na sajtu -&gt;</v>
      </c>
    </row>
    <row r="9" spans="1:6" ht="12.75">
      <c r="A9" s="2">
        <v>8</v>
      </c>
      <c r="B9" t="s">
        <v>830</v>
      </c>
      <c r="C9" t="s">
        <v>831</v>
      </c>
      <c r="D9" s="2">
        <v>50</v>
      </c>
      <c r="E9" s="2">
        <v>14</v>
      </c>
      <c r="F9" s="3" t="str">
        <f>HYPERLINK("http://www.sah.co.rs/bra100w150r.html?___store=serbian"," Pogledajte proizvod na sajtu -&gt;")</f>
        <v> Pogledajte proizvod na sajtu -&gt;</v>
      </c>
    </row>
    <row r="10" spans="1:6" ht="12.75">
      <c r="A10" s="2">
        <v>9</v>
      </c>
      <c r="B10" t="s">
        <v>832</v>
      </c>
      <c r="C10" t="s">
        <v>833</v>
      </c>
      <c r="D10" s="2">
        <v>25</v>
      </c>
      <c r="E10" s="2">
        <v>14</v>
      </c>
      <c r="F10" s="3" t="str">
        <f>HYPERLINK("http://www.sah.co.rs/bra100w500r.html?___store=serbian"," Pogledajte proizvod na sajtu -&gt;")</f>
        <v> Pogledajte proizvod na sajtu -&gt;</v>
      </c>
    </row>
    <row r="11" spans="1:6" ht="12.75">
      <c r="A11" s="2">
        <v>10</v>
      </c>
      <c r="B11" t="s">
        <v>834</v>
      </c>
      <c r="C11" t="s">
        <v>835</v>
      </c>
      <c r="D11" s="2">
        <v>54</v>
      </c>
      <c r="E11" s="2">
        <v>14</v>
      </c>
      <c r="F11" s="3" t="str">
        <f>HYPERLINK("http://www.sah.co.rs/bra100w50r.html?___store=serbian"," Pogledajte proizvod na sajtu -&gt;")</f>
        <v> Pogledajte proizvod na sajtu -&gt;</v>
      </c>
    </row>
    <row r="12" spans="1:6" ht="12.75">
      <c r="A12" s="2">
        <v>11</v>
      </c>
      <c r="B12" t="s">
        <v>836</v>
      </c>
      <c r="C12" t="s">
        <v>837</v>
      </c>
      <c r="D12" s="2">
        <v>29</v>
      </c>
      <c r="E12" s="2">
        <v>60</v>
      </c>
      <c r="F12" s="3" t="str">
        <f>HYPERLINK("http://www.sah.co.rs/bra1500w40r.html?___store=serbian"," Pogledajte proizvod na sajtu -&gt;")</f>
        <v> Pogledajte proizvod na sajtu -&gt;</v>
      </c>
    </row>
    <row r="13" spans="1:6" ht="12.75">
      <c r="A13" s="2">
        <v>12</v>
      </c>
      <c r="B13" t="s">
        <v>838</v>
      </c>
      <c r="C13" t="s">
        <v>839</v>
      </c>
      <c r="D13" s="2">
        <v>25</v>
      </c>
      <c r="E13" s="2">
        <v>16</v>
      </c>
      <c r="F13" s="3" t="str">
        <f>HYPERLINK("http://www.sah.co.rs/bra150w100r.html?___store=serbian"," Pogledajte proizvod na sajtu -&gt;")</f>
        <v> Pogledajte proizvod na sajtu -&gt;</v>
      </c>
    </row>
    <row r="14" spans="1:6" ht="12.75">
      <c r="A14" s="2">
        <v>13</v>
      </c>
      <c r="B14" t="s">
        <v>840</v>
      </c>
      <c r="C14" t="s">
        <v>841</v>
      </c>
      <c r="D14" s="2">
        <v>202</v>
      </c>
      <c r="E14" s="2">
        <v>16</v>
      </c>
      <c r="F14" s="3" t="str">
        <f>HYPERLINK("http://www.sah.co.rs/bra150w150r.html?___store=serbian"," Pogledajte proizvod na sajtu -&gt;")</f>
        <v> Pogledajte proizvod na sajtu -&gt;</v>
      </c>
    </row>
    <row r="15" spans="1:6" ht="12.75">
      <c r="A15" s="2">
        <v>14</v>
      </c>
      <c r="B15" t="s">
        <v>842</v>
      </c>
      <c r="C15" t="s">
        <v>843</v>
      </c>
      <c r="D15" s="2">
        <v>14</v>
      </c>
      <c r="E15" s="2">
        <v>70</v>
      </c>
      <c r="F15" s="3" t="str">
        <f>HYPERLINK("http://www.sah.co.rs/bra2000w20r.html?___store=serbian"," Pogledajte proizvod na sajtu -&gt;")</f>
        <v> Pogledajte proizvod na sajtu -&gt;</v>
      </c>
    </row>
    <row r="16" spans="1:6" ht="12.75">
      <c r="A16" s="2">
        <v>15</v>
      </c>
      <c r="B16" t="s">
        <v>844</v>
      </c>
      <c r="C16" t="s">
        <v>845</v>
      </c>
      <c r="D16" s="2">
        <v>106</v>
      </c>
      <c r="E16" s="2">
        <v>18</v>
      </c>
      <c r="F16" s="3" t="str">
        <f>HYPERLINK("http://www.sah.co.rs/bra200w100r.html?___store=serbian"," Pogledajte proizvod na sajtu -&gt;")</f>
        <v> Pogledajte proizvod na sajtu -&gt;</v>
      </c>
    </row>
    <row r="17" spans="1:6" ht="12.75">
      <c r="A17" s="2">
        <v>16</v>
      </c>
      <c r="B17" t="s">
        <v>846</v>
      </c>
      <c r="C17" t="s">
        <v>847</v>
      </c>
      <c r="D17" s="2">
        <v>88</v>
      </c>
      <c r="E17" s="2">
        <v>18</v>
      </c>
      <c r="F17" s="3" t="str">
        <f>HYPERLINK("http://www.sah.co.rs/bra200w150r.html?___store=serbian"," Pogledajte proizvod na sajtu -&gt;")</f>
        <v> Pogledajte proizvod na sajtu -&gt;</v>
      </c>
    </row>
    <row r="18" spans="1:6" ht="12.75">
      <c r="A18" s="2">
        <v>17</v>
      </c>
      <c r="B18" t="s">
        <v>848</v>
      </c>
      <c r="C18" t="s">
        <v>849</v>
      </c>
      <c r="D18" s="2">
        <v>72</v>
      </c>
      <c r="E18" s="2">
        <v>18</v>
      </c>
      <c r="F18" s="3" t="str">
        <f>HYPERLINK("http://www.sah.co.rs/bra200w25r.html?___store=serbian"," Pogledajte proizvod na sajtu -&gt;")</f>
        <v> Pogledajte proizvod na sajtu -&gt;</v>
      </c>
    </row>
    <row r="19" spans="1:6" ht="12.75">
      <c r="A19" s="2">
        <v>18</v>
      </c>
      <c r="B19" t="s">
        <v>850</v>
      </c>
      <c r="C19" t="s">
        <v>851</v>
      </c>
      <c r="D19" s="2">
        <v>92</v>
      </c>
      <c r="E19" s="2">
        <v>18</v>
      </c>
      <c r="F19" s="3" t="str">
        <f>HYPERLINK("http://www.sah.co.rs/bra200w300r.html?___store=serbian"," Pogledajte proizvod na sajtu -&gt;")</f>
        <v> Pogledajte proizvod na sajtu -&gt;</v>
      </c>
    </row>
    <row r="20" spans="1:6" ht="12.75">
      <c r="A20" s="2">
        <v>19</v>
      </c>
      <c r="B20" t="s">
        <v>852</v>
      </c>
      <c r="C20" t="s">
        <v>853</v>
      </c>
      <c r="D20" s="2">
        <v>22</v>
      </c>
      <c r="E20" s="2">
        <v>18</v>
      </c>
      <c r="F20" s="3" t="str">
        <f>HYPERLINK("http://www.sah.co.rs/bra200w50r.html?___store=serbian"," Pogledajte proizvod na sajtu -&gt;")</f>
        <v> Pogledajte proizvod na sajtu -&gt;</v>
      </c>
    </row>
    <row r="21" spans="1:6" ht="12.75">
      <c r="A21" s="2">
        <v>20</v>
      </c>
      <c r="B21" t="s">
        <v>854</v>
      </c>
      <c r="C21" t="s">
        <v>855</v>
      </c>
      <c r="D21" s="2">
        <v>58</v>
      </c>
      <c r="E21" s="2">
        <v>20</v>
      </c>
      <c r="F21" s="3" t="str">
        <f>HYPERLINK("http://www.sah.co.rs/bra250w120r.html?___store=serbian"," Pogledajte proizvod na sajtu -&gt;")</f>
        <v> Pogledajte proizvod na sajtu -&gt;</v>
      </c>
    </row>
    <row r="22" spans="1:6" ht="12.75">
      <c r="A22" s="2">
        <v>21</v>
      </c>
      <c r="B22" t="s">
        <v>856</v>
      </c>
      <c r="C22" t="s">
        <v>857</v>
      </c>
      <c r="D22" s="2">
        <v>30</v>
      </c>
      <c r="E22" s="2">
        <v>21</v>
      </c>
      <c r="F22" s="3" t="str">
        <f>HYPERLINK("http://www.sah.co.rs/bra300w100r.html?___store=serbian"," Pogledajte proizvod na sajtu -&gt;")</f>
        <v> Pogledajte proizvod na sajtu -&gt;</v>
      </c>
    </row>
    <row r="23" spans="1:6" ht="12.75">
      <c r="A23" s="2">
        <v>22</v>
      </c>
      <c r="B23" t="s">
        <v>858</v>
      </c>
      <c r="C23" t="s">
        <v>859</v>
      </c>
      <c r="D23" s="2">
        <v>112</v>
      </c>
      <c r="E23" s="2">
        <v>21</v>
      </c>
      <c r="F23" s="3" t="str">
        <f>HYPERLINK("http://www.sah.co.rs/bra300w300r.html?___store=serbian"," Pogledajte proizvod na sajtu -&gt;")</f>
        <v> Pogledajte proizvod na sajtu -&gt;</v>
      </c>
    </row>
    <row r="24" spans="1:6" ht="12.75">
      <c r="A24" s="2">
        <v>23</v>
      </c>
      <c r="B24" t="s">
        <v>860</v>
      </c>
      <c r="C24" t="s">
        <v>861</v>
      </c>
      <c r="D24" s="2">
        <v>134</v>
      </c>
      <c r="E24" s="2">
        <v>21</v>
      </c>
      <c r="F24" s="3" t="str">
        <f>HYPERLINK("http://www.sah.co.rs/bra300w30r.html?___store=serbian"," Pogledajte proizvod na sajtu -&gt;")</f>
        <v> Pogledajte proizvod na sajtu -&gt;</v>
      </c>
    </row>
    <row r="25" spans="1:6" ht="12.75">
      <c r="A25" s="2">
        <v>24</v>
      </c>
      <c r="B25" t="s">
        <v>862</v>
      </c>
      <c r="C25" t="s">
        <v>863</v>
      </c>
      <c r="D25" s="2">
        <v>21</v>
      </c>
      <c r="E25" s="2">
        <v>25</v>
      </c>
      <c r="F25" s="3" t="str">
        <f>HYPERLINK("http://www.sah.co.rs/bra400w100r.html?___store=serbian"," Pogledajte proizvod na sajtu -&gt;")</f>
        <v> Pogledajte proizvod na sajtu -&gt;</v>
      </c>
    </row>
    <row r="26" spans="1:6" ht="12.75">
      <c r="A26" s="2">
        <v>25</v>
      </c>
      <c r="B26" t="s">
        <v>864</v>
      </c>
      <c r="C26" t="s">
        <v>865</v>
      </c>
      <c r="D26" s="2">
        <v>76</v>
      </c>
      <c r="E26" s="2">
        <v>25</v>
      </c>
      <c r="F26" s="3" t="str">
        <f>HYPERLINK("http://www.sah.co.rs/bra400w120r.html?___store=serbian"," Pogledajte proizvod na sajtu -&gt;")</f>
        <v> Pogledajte proizvod na sajtu -&gt;</v>
      </c>
    </row>
    <row r="27" spans="1:6" ht="12.75">
      <c r="A27" s="2">
        <v>26</v>
      </c>
      <c r="B27" t="s">
        <v>866</v>
      </c>
      <c r="C27" t="s">
        <v>867</v>
      </c>
      <c r="D27" s="2">
        <v>46</v>
      </c>
      <c r="E27" s="2">
        <v>25</v>
      </c>
      <c r="F27" s="3" t="str">
        <f>HYPERLINK("http://www.sah.co.rs/bra400w150r.html?___store=serbian"," Pogledajte proizvod na sajtu -&gt;")</f>
        <v> Pogledajte proizvod na sajtu -&gt;</v>
      </c>
    </row>
    <row r="28" spans="1:6" ht="12.75">
      <c r="A28" s="2">
        <v>27</v>
      </c>
      <c r="B28" t="s">
        <v>868</v>
      </c>
      <c r="C28" t="s">
        <v>869</v>
      </c>
      <c r="D28" s="2">
        <v>20</v>
      </c>
      <c r="E28" s="2">
        <v>25</v>
      </c>
      <c r="F28" s="3" t="str">
        <f>HYPERLINK("http://www.sah.co.rs/bra400w50r.html?___store=serbian"," Pogledajte proizvod na sajtu -&gt;")</f>
        <v> Pogledajte proizvod na sajtu -&gt;</v>
      </c>
    </row>
    <row r="29" spans="1:6" ht="12.75">
      <c r="A29" s="2">
        <v>28</v>
      </c>
      <c r="B29" t="s">
        <v>870</v>
      </c>
      <c r="C29" t="s">
        <v>871</v>
      </c>
      <c r="D29" s="2">
        <v>42</v>
      </c>
      <c r="E29" s="2">
        <v>25</v>
      </c>
      <c r="F29" s="3" t="str">
        <f>HYPERLINK("http://www.sah.co.rs/bra400w80r.html?___store=serbian"," Pogledajte proizvod na sajtu -&gt;")</f>
        <v> Pogledajte proizvod na sajtu -&gt;</v>
      </c>
    </row>
    <row r="30" spans="1:6" ht="12.75">
      <c r="A30" s="2">
        <v>29</v>
      </c>
      <c r="B30" t="s">
        <v>872</v>
      </c>
      <c r="C30" t="s">
        <v>873</v>
      </c>
      <c r="D30" s="2">
        <v>58</v>
      </c>
      <c r="E30" s="2">
        <v>35</v>
      </c>
      <c r="F30" s="3" t="str">
        <f>HYPERLINK("http://www.sah.co.rs/bra500w120r.html?___store=serbian"," Pogledajte proizvod na sajtu -&gt;")</f>
        <v> Pogledajte proizvod na sajtu -&gt;</v>
      </c>
    </row>
    <row r="31" spans="1:6" ht="12.75">
      <c r="A31" s="2">
        <v>30</v>
      </c>
      <c r="B31" t="s">
        <v>874</v>
      </c>
      <c r="C31" t="s">
        <v>875</v>
      </c>
      <c r="D31" s="2">
        <v>42</v>
      </c>
      <c r="E31" s="2">
        <v>35</v>
      </c>
      <c r="F31" s="3" t="str">
        <f>HYPERLINK("http://www.sah.co.rs/bra500w150r.html?___store=serbian"," Pogledajte proizvod na sajtu -&gt;")</f>
        <v> Pogledajte proizvod na sajtu -&gt;</v>
      </c>
    </row>
    <row r="32" spans="1:6" ht="12.75">
      <c r="A32" s="2">
        <v>31</v>
      </c>
      <c r="B32" t="s">
        <v>876</v>
      </c>
      <c r="C32" t="s">
        <v>877</v>
      </c>
      <c r="D32" s="2">
        <v>49</v>
      </c>
      <c r="E32" s="2">
        <v>30</v>
      </c>
      <c r="F32" s="3" t="str">
        <f>HYPERLINK("http://www.sah.co.rs/bra500w50r.html?___store=serbian"," Pogledajte proizvod na sajtu -&gt;")</f>
        <v> Pogledajte proizvod na sajtu -&gt;</v>
      </c>
    </row>
    <row r="33" spans="1:6" ht="12.75">
      <c r="A33" s="2">
        <v>32</v>
      </c>
      <c r="B33" t="s">
        <v>878</v>
      </c>
      <c r="C33" t="s">
        <v>879</v>
      </c>
      <c r="D33" s="2">
        <v>43</v>
      </c>
      <c r="E33" s="2">
        <v>30</v>
      </c>
      <c r="F33" s="3" t="str">
        <f>HYPERLINK("http://www.sah.co.rs/bra500w60r.html?___store=serbian"," Pogledajte proizvod na sajtu -&gt;")</f>
        <v> Pogledajte proizvod na sajtu -&gt;</v>
      </c>
    </row>
    <row r="34" spans="1:6" ht="12.75">
      <c r="A34" s="2">
        <v>33</v>
      </c>
      <c r="B34" t="s">
        <v>880</v>
      </c>
      <c r="C34" t="s">
        <v>881</v>
      </c>
      <c r="D34" s="2">
        <v>42</v>
      </c>
      <c r="E34" s="2">
        <v>30</v>
      </c>
      <c r="F34" s="3" t="str">
        <f>HYPERLINK("http://www.sah.co.rs/bra500w80r.html?___store=serbian"," Pogledajte proizvod na sajtu -&gt;")</f>
        <v> Pogledajte proizvod na sajtu -&gt;</v>
      </c>
    </row>
    <row r="35" spans="1:6" ht="12.75">
      <c r="A35" s="2">
        <v>34</v>
      </c>
      <c r="B35" t="s">
        <v>882</v>
      </c>
      <c r="C35" t="s">
        <v>883</v>
      </c>
      <c r="D35" s="2">
        <v>23</v>
      </c>
      <c r="E35" s="2">
        <v>100</v>
      </c>
      <c r="F35" s="3" t="str">
        <f>HYPERLINK("http://www.sah.co.rs/bra6000w20r.html?___store=serbian"," Pogledajte proizvod na sajtu -&gt;")</f>
        <v> Pogledajte proizvod na sajtu -&gt;</v>
      </c>
    </row>
    <row r="36" spans="1:6" ht="12.75">
      <c r="A36" s="2">
        <v>35</v>
      </c>
      <c r="B36" t="s">
        <v>884</v>
      </c>
      <c r="C36" t="s">
        <v>885</v>
      </c>
      <c r="D36" s="2">
        <v>86</v>
      </c>
      <c r="E36" s="2">
        <v>35</v>
      </c>
      <c r="F36" s="3" t="str">
        <f>HYPERLINK("http://www.sah.co.rs/bra600w100r.html?___store=serbian"," Pogledajte proizvod na sajtu -&gt;")</f>
        <v> Pogledajte proizvod na sajtu -&gt;</v>
      </c>
    </row>
    <row r="37" spans="1:6" ht="12.75">
      <c r="A37" s="2">
        <v>36</v>
      </c>
      <c r="B37" t="s">
        <v>886</v>
      </c>
      <c r="C37" t="s">
        <v>887</v>
      </c>
      <c r="D37" s="2">
        <v>6</v>
      </c>
      <c r="E37" s="2">
        <v>37</v>
      </c>
      <c r="F37" s="3" t="str">
        <f>HYPERLINK("http://www.sah.co.rs/bra650w75r.html?___store=serbian"," Pogledajte proizvod na sajtu -&gt;")</f>
        <v> Pogledajte proizvod na sajtu -&gt;</v>
      </c>
    </row>
    <row r="38" spans="1:6" ht="12.75">
      <c r="A38" s="2">
        <v>37</v>
      </c>
      <c r="B38" t="s">
        <v>888</v>
      </c>
      <c r="C38" t="s">
        <v>889</v>
      </c>
      <c r="D38" s="2">
        <v>37</v>
      </c>
      <c r="E38" s="2">
        <v>40</v>
      </c>
      <c r="F38" s="3" t="str">
        <f>HYPERLINK("http://www.sah.co.rs/bra800w100r.html?___store=serbian"," Pogledajte proizvod na sajtu -&gt;")</f>
        <v> Pogledajte proizvod na sajtu -&gt;</v>
      </c>
    </row>
    <row r="39" spans="1:6" ht="12.75">
      <c r="A39" s="2">
        <v>38</v>
      </c>
      <c r="B39" t="s">
        <v>890</v>
      </c>
      <c r="C39" t="s">
        <v>891</v>
      </c>
      <c r="D39" s="2">
        <v>13</v>
      </c>
      <c r="E39" s="2">
        <v>40</v>
      </c>
      <c r="F39" s="3" t="str">
        <f>HYPERLINK("http://www.sah.co.rs/bra800w80r.html?___store=serbian"," Pogledajte proizvod na sajtu -&gt;")</f>
        <v> Pogledajte proizvod na sajtu -&gt;</v>
      </c>
    </row>
    <row r="40" spans="1:6" ht="12.75">
      <c r="A40" s="2">
        <v>39</v>
      </c>
      <c r="B40" t="s">
        <v>892</v>
      </c>
      <c r="C40" t="s">
        <v>893</v>
      </c>
      <c r="D40" s="2">
        <v>3</v>
      </c>
      <c r="E40" s="2">
        <v>30</v>
      </c>
      <c r="F40" s="3" t="str">
        <f>HYPERLINK("http://www.sah.co.rs/brw1000w20r.html?___store=serbian"," Pogledajte proizvod na sajtu -&gt;")</f>
        <v> Pogledajte proizvod na sajtu -&gt;</v>
      </c>
    </row>
    <row r="41" spans="1:6" ht="12.75">
      <c r="A41" s="2">
        <v>40</v>
      </c>
      <c r="B41" t="s">
        <v>894</v>
      </c>
      <c r="C41" t="s">
        <v>895</v>
      </c>
      <c r="D41" s="2">
        <v>66</v>
      </c>
      <c r="E41" s="2">
        <v>30</v>
      </c>
      <c r="F41" s="3" t="str">
        <f>HYPERLINK("http://www.sah.co.rs/brw1000w40r.html?___store=serbian"," Pogledajte proizvod na sajtu -&gt;")</f>
        <v> Pogledajte proizvod na sajtu -&gt;</v>
      </c>
    </row>
    <row r="42" spans="1:6" ht="12.75">
      <c r="A42" s="2">
        <v>41</v>
      </c>
      <c r="B42" t="s">
        <v>896</v>
      </c>
      <c r="C42" t="s">
        <v>897</v>
      </c>
      <c r="D42" s="2">
        <v>29</v>
      </c>
      <c r="E42" s="2">
        <v>30</v>
      </c>
      <c r="F42" s="3" t="str">
        <f>HYPERLINK("http://www.sah.co.rs/brw1000w50r.html?___store=serbian"," Pogledajte proizvod na sajtu -&gt;")</f>
        <v> Pogledajte proizvod na sajtu -&gt;</v>
      </c>
    </row>
    <row r="43" spans="1:6" ht="12.75">
      <c r="A43" s="2">
        <v>42</v>
      </c>
      <c r="B43" t="s">
        <v>898</v>
      </c>
      <c r="C43" t="s">
        <v>899</v>
      </c>
      <c r="D43" s="2">
        <v>34</v>
      </c>
      <c r="E43" s="2">
        <v>30</v>
      </c>
      <c r="F43" s="3" t="str">
        <f>HYPERLINK("http://www.sah.co.rs/brw1000w80r.html?___store=serbian"," Pogledajte proizvod na sajtu -&gt;")</f>
        <v> Pogledajte proizvod na sajtu -&gt;</v>
      </c>
    </row>
    <row r="44" spans="1:6" ht="12.75">
      <c r="A44" s="2">
        <v>43</v>
      </c>
      <c r="B44" t="s">
        <v>900</v>
      </c>
      <c r="C44" t="s">
        <v>901</v>
      </c>
      <c r="D44" s="2">
        <v>5</v>
      </c>
      <c r="E44" s="2">
        <v>30</v>
      </c>
      <c r="F44" s="3" t="str">
        <f>HYPERLINK("http://www.sah.co.rs/brw1000w90r.html?___store=serbian"," Pogledajte proizvod na sajtu -&gt;")</f>
        <v> Pogledajte proizvod na sajtu -&gt;</v>
      </c>
    </row>
    <row r="45" spans="1:6" ht="12.75">
      <c r="A45" s="2">
        <v>44</v>
      </c>
      <c r="B45" t="s">
        <v>902</v>
      </c>
      <c r="C45" t="s">
        <v>903</v>
      </c>
      <c r="D45" s="2">
        <v>30</v>
      </c>
      <c r="E45" s="2">
        <v>45</v>
      </c>
      <c r="F45" s="3" t="str">
        <f>HYPERLINK("http://www.sah.co.rs/brw2000w10r.html?___store=serbian"," Pogledajte proizvod na sajtu -&gt;")</f>
        <v> Pogledajte proizvod na sajtu -&gt;</v>
      </c>
    </row>
    <row r="46" spans="1:6" ht="12.75">
      <c r="A46" s="2">
        <v>45</v>
      </c>
      <c r="B46" t="s">
        <v>904</v>
      </c>
      <c r="C46" t="s">
        <v>905</v>
      </c>
      <c r="D46" s="2">
        <v>16</v>
      </c>
      <c r="E46" s="2">
        <v>45</v>
      </c>
      <c r="F46" s="3" t="str">
        <f>HYPERLINK("http://www.sah.co.rs/brw2000w20r.html?___store=serbian"," Pogledajte proizvod na sajtu -&gt;")</f>
        <v> Pogledajte proizvod na sajtu -&gt;</v>
      </c>
    </row>
    <row r="47" spans="1:6" ht="12.75">
      <c r="A47" s="2">
        <v>46</v>
      </c>
      <c r="B47" t="s">
        <v>906</v>
      </c>
      <c r="C47" t="s">
        <v>907</v>
      </c>
      <c r="D47" s="2">
        <v>24</v>
      </c>
      <c r="E47" s="2">
        <v>45</v>
      </c>
      <c r="F47" s="3" t="str">
        <f>HYPERLINK("http://www.sah.co.rs/brw2000w80r.html?___store=serbian"," Pogledajte proizvod na sajtu -&gt;")</f>
        <v> Pogledajte proizvod na sajtu -&gt;</v>
      </c>
    </row>
    <row r="48" spans="1:6" ht="12.75">
      <c r="A48" s="2">
        <v>47</v>
      </c>
      <c r="B48" t="s">
        <v>908</v>
      </c>
      <c r="C48" t="s">
        <v>909</v>
      </c>
      <c r="D48" s="2">
        <v>16</v>
      </c>
      <c r="E48" s="2">
        <v>55</v>
      </c>
      <c r="F48" s="3" t="str">
        <f>HYPERLINK("http://www.sah.co.rs/brw3000w50r.html?___store=serbian"," Pogledajte proizvod na sajtu -&gt;")</f>
        <v> Pogledajte proizvod na sajtu -&gt;</v>
      </c>
    </row>
    <row r="49" spans="1:6" ht="12.75">
      <c r="A49" s="2">
        <v>48</v>
      </c>
      <c r="B49" t="s">
        <v>910</v>
      </c>
      <c r="C49" t="s">
        <v>911</v>
      </c>
      <c r="D49" s="2">
        <v>66</v>
      </c>
      <c r="E49" s="2">
        <v>15</v>
      </c>
      <c r="F49" s="3" t="str">
        <f>HYPERLINK("http://www.sah.co.rs/brw400w150r.html?___store=serbian"," Pogledajte proizvod na sajtu -&gt;")</f>
        <v> Pogledajte proizvod na sajtu -&gt;</v>
      </c>
    </row>
    <row r="50" spans="1:6" ht="12.75">
      <c r="A50" s="2">
        <v>49</v>
      </c>
      <c r="B50" t="s">
        <v>912</v>
      </c>
      <c r="C50" t="s">
        <v>913</v>
      </c>
      <c r="D50" s="2">
        <v>36</v>
      </c>
      <c r="E50" s="2">
        <v>18</v>
      </c>
      <c r="F50" s="3" t="str">
        <f>HYPERLINK("http://www.sah.co.rs/brw500w120r.html?___store=serbian"," Pogledajte proizvod na sajtu -&gt;")</f>
        <v> Pogledajte proizvod na sajtu -&gt;</v>
      </c>
    </row>
    <row r="51" spans="1:6" ht="12.75">
      <c r="A51" s="2">
        <v>50</v>
      </c>
      <c r="B51" t="s">
        <v>914</v>
      </c>
      <c r="C51" t="s">
        <v>915</v>
      </c>
      <c r="D51" s="2">
        <v>0</v>
      </c>
      <c r="E51" s="2">
        <v>100</v>
      </c>
      <c r="F51" s="3" t="str">
        <f>HYPERLINK("http://www.sah.co.rs/brw6000w20r.html?___store=serbian"," Pogledajte proizvod na sajtu -&gt;")</f>
        <v> Pogledajte proizvod na sajtu -&gt;</v>
      </c>
    </row>
    <row r="52" spans="1:6" ht="12.75">
      <c r="A52" s="2">
        <v>51</v>
      </c>
      <c r="B52" t="s">
        <v>916</v>
      </c>
      <c r="C52" t="s">
        <v>917</v>
      </c>
      <c r="D52" s="2">
        <v>58</v>
      </c>
      <c r="E52" s="2">
        <v>23</v>
      </c>
      <c r="F52" s="3" t="str">
        <f>HYPERLINK("http://www.sah.co.rs/brw600w50r.html?___store=serbian","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2.421875" style="0" customWidth="1"/>
    <col min="3" max="3" width="54.1406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918</v>
      </c>
      <c r="C2" t="s">
        <v>919</v>
      </c>
      <c r="D2" s="2">
        <v>35</v>
      </c>
      <c r="E2" s="2">
        <v>10</v>
      </c>
      <c r="F2" s="3" t="str">
        <f>HYPERLINK("http://www.sah.co.rs/hkb-2011.html?___store=serbian"," Pogledajte proizvod na sajtu -&gt;")</f>
        <v> Pogledajte proizvod na sajtu -&gt;</v>
      </c>
    </row>
    <row r="3" spans="1:6" ht="12.75">
      <c r="A3" s="2">
        <v>2</v>
      </c>
      <c r="B3" t="s">
        <v>920</v>
      </c>
      <c r="C3" t="s">
        <v>919</v>
      </c>
      <c r="D3" s="2">
        <v>33</v>
      </c>
      <c r="E3" s="2">
        <v>8</v>
      </c>
      <c r="F3" s="3" t="str">
        <f>HYPERLINK("http://www.sah.co.rs/gxb2-pa12.html?___store=serbian"," Pogledajte proizvod na sajtu -&gt;")</f>
        <v> Pogledajte proizvod na sajtu -&gt;</v>
      </c>
    </row>
    <row r="4" spans="1:6" ht="12.75">
      <c r="A4" s="2">
        <v>3</v>
      </c>
      <c r="B4" t="s">
        <v>921</v>
      </c>
      <c r="C4" t="s">
        <v>919</v>
      </c>
      <c r="D4" s="2">
        <v>53</v>
      </c>
      <c r="E4" s="2">
        <v>8</v>
      </c>
      <c r="F4" s="3" t="str">
        <f>HYPERLINK("http://www.sah.co.rs/xd2-pa12cr.html?___store=serbian"," Pogledajte proizvod na sajtu -&gt;")</f>
        <v> Pogledajte proizvod na sajtu -&gt;</v>
      </c>
    </row>
    <row r="5" spans="1:6" ht="12.75">
      <c r="A5" s="2">
        <v>4</v>
      </c>
      <c r="B5" t="s">
        <v>922</v>
      </c>
      <c r="C5" t="s">
        <v>923</v>
      </c>
      <c r="D5" s="2">
        <v>13</v>
      </c>
      <c r="E5" s="2">
        <v>18</v>
      </c>
      <c r="F5" s="3" t="str">
        <f>HYPERLINK("http://www.sah.co.rs/lel-02-1.html?___store=serbian"," Pogledajte proizvod na sajtu -&gt;")</f>
        <v> Pogledajte proizvod na sajtu -&gt;</v>
      </c>
    </row>
    <row r="6" spans="1:6" ht="12.75">
      <c r="A6" s="2">
        <v>5</v>
      </c>
      <c r="B6" t="s">
        <v>924</v>
      </c>
      <c r="C6" t="s">
        <v>923</v>
      </c>
      <c r="D6" s="2">
        <v>29</v>
      </c>
      <c r="E6" s="2">
        <v>8</v>
      </c>
      <c r="F6" s="3" t="str">
        <f>HYPERLINK("http://www.sah.co.rs/xd2-pa22cr.html?___store=serbian"," Pogledajte proizvod na sajtu -&gt;")</f>
        <v> Pogledajte proizvod na sajtu -&gt;</v>
      </c>
    </row>
    <row r="7" spans="1:6" ht="12.75">
      <c r="A7" s="2">
        <v>6</v>
      </c>
      <c r="B7" t="s">
        <v>925</v>
      </c>
      <c r="C7" t="s">
        <v>923</v>
      </c>
      <c r="D7" s="2">
        <v>38</v>
      </c>
      <c r="E7" s="2">
        <v>8</v>
      </c>
      <c r="F7" s="3" t="str">
        <f>HYPERLINK("http://www.sah.co.rs/gxb2-pa22.html?___store=serbian"," Pogledajte proizvod na sajtu -&gt;")</f>
        <v> Pogledajte proizvod na sajtu -&gt;</v>
      </c>
    </row>
    <row r="8" spans="1:6" ht="12.75">
      <c r="A8" s="2">
        <v>7</v>
      </c>
      <c r="B8" t="s">
        <v>926</v>
      </c>
      <c r="C8" t="s">
        <v>923</v>
      </c>
      <c r="D8" s="2">
        <v>44</v>
      </c>
      <c r="E8" s="2">
        <v>10</v>
      </c>
      <c r="F8" s="3" t="str">
        <f>HYPERLINK("http://www.sah.co.rs/hkb-201.html?___store=serbian"," Pogledajte proizvod na sajtu -&gt;")</f>
        <v> Pogledajte proizvod na sajtu -&gt;</v>
      </c>
    </row>
    <row r="9" spans="1:6" ht="12.75">
      <c r="A9" s="2">
        <v>8</v>
      </c>
      <c r="B9" t="s">
        <v>927</v>
      </c>
      <c r="C9" t="s">
        <v>928</v>
      </c>
      <c r="D9" s="2">
        <v>104</v>
      </c>
      <c r="E9" s="2">
        <v>9</v>
      </c>
      <c r="F9" s="3" t="str">
        <f>HYPERLINK("http://www.sah.co.rs/xd2-pa14cr.html?___store=serbian"," Pogledajte proizvod na sajtu -&gt;")</f>
        <v> Pogledajte proizvod na sajtu -&gt;</v>
      </c>
    </row>
    <row r="10" spans="1:6" ht="12.75">
      <c r="A10" s="2">
        <v>9</v>
      </c>
      <c r="B10" t="s">
        <v>929</v>
      </c>
      <c r="C10" t="s">
        <v>928</v>
      </c>
      <c r="D10" s="2">
        <v>20</v>
      </c>
      <c r="E10" s="2">
        <v>10</v>
      </c>
      <c r="F10" s="3" t="str">
        <f>HYPERLINK("http://www.sah.co.rs/gxb2-pa14.html?___store=serbian"," Pogledajte proizvod na sajtu -&gt;")</f>
        <v> Pogledajte proizvod na sajtu -&gt;</v>
      </c>
    </row>
    <row r="11" spans="1:6" ht="12.75">
      <c r="A11" s="2">
        <v>10</v>
      </c>
      <c r="B11" t="s">
        <v>930</v>
      </c>
      <c r="C11" t="s">
        <v>928</v>
      </c>
      <c r="D11" s="2">
        <v>89</v>
      </c>
      <c r="E11" s="2">
        <v>11</v>
      </c>
      <c r="F11" s="3" t="str">
        <f>HYPERLINK("http://www.sah.co.rs/hkb-4022.html?___store=serbian"," Pogledajte proizvod na sajtu -&gt;")</f>
        <v> Pogledajte proizvod na sajtu -&gt;</v>
      </c>
    </row>
    <row r="12" spans="1:6" ht="12.75">
      <c r="A12" s="2">
        <v>11</v>
      </c>
      <c r="B12" t="s">
        <v>931</v>
      </c>
      <c r="C12" t="s">
        <v>932</v>
      </c>
      <c r="D12" s="2">
        <v>3</v>
      </c>
      <c r="E12" s="2">
        <v>10</v>
      </c>
      <c r="F12" s="3" t="str">
        <f>HYPERLINK("http://www.sah.co.rs/gxb2-pa24.html?___store=serbian"," Pogledajte proizvod na sajtu -&gt;")</f>
        <v> Pogledajte proizvod na sajtu -&gt;</v>
      </c>
    </row>
    <row r="13" spans="1:6" ht="12.75">
      <c r="A13" s="2">
        <v>12</v>
      </c>
      <c r="B13" t="s">
        <v>933</v>
      </c>
      <c r="C13" t="s">
        <v>932</v>
      </c>
      <c r="D13" s="2">
        <v>16</v>
      </c>
      <c r="E13" s="2">
        <v>11</v>
      </c>
      <c r="F13" s="3" t="str">
        <f>HYPERLINK("http://www.sah.co.rs/hkb-402.html?___store=serbian"," Pogledajte proizvod na sajtu -&gt;")</f>
        <v> Pogledajte proizvod na sajtu -&gt;</v>
      </c>
    </row>
    <row r="14" spans="1:6" ht="12.75">
      <c r="A14" s="2">
        <v>13</v>
      </c>
      <c r="B14" t="s">
        <v>934</v>
      </c>
      <c r="C14" t="s">
        <v>932</v>
      </c>
      <c r="D14" s="2">
        <v>40</v>
      </c>
      <c r="E14" s="2">
        <v>9</v>
      </c>
      <c r="F14" s="3" t="str">
        <f>HYPERLINK("http://www.sah.co.rs/xd2-pa24cr.html?___store=serbian"," Pogledajte proizvod na sajtu -&gt;")</f>
        <v> Pogledajte proizvod na sajtu -&gt;</v>
      </c>
    </row>
    <row r="15" spans="1:6" ht="12.75">
      <c r="A15" s="2">
        <v>14</v>
      </c>
      <c r="B15" t="s">
        <v>935</v>
      </c>
      <c r="C15" t="s">
        <v>932</v>
      </c>
      <c r="D15" s="2">
        <v>14</v>
      </c>
      <c r="E15" s="2">
        <v>20</v>
      </c>
      <c r="F15" s="3" t="str">
        <f>HYPERLINK("http://www.sah.co.rs/lel-04-1.html?___store=serbian"," Pogledajte proizvod na sajtu -&gt;")</f>
        <v> Pogledajte proizvod na sajtu -&gt;</v>
      </c>
    </row>
    <row r="16" spans="1:6" ht="12.75">
      <c r="A16" s="2">
        <v>15</v>
      </c>
      <c r="B16" t="s">
        <v>936</v>
      </c>
      <c r="C16" t="s">
        <v>937</v>
      </c>
      <c r="D16" s="2">
        <v>5</v>
      </c>
      <c r="E16" s="2">
        <v>45</v>
      </c>
      <c r="F16" s="3" t="str">
        <f>HYPERLINK("http://www.sah.co.rs/om-201a-m2.html?___store=serbian"," Pogledajte proizvod na sajtu -&gt;")</f>
        <v> Pogledajte proizvod na sajtu -&gt;</v>
      </c>
    </row>
    <row r="17" spans="1:6" ht="12.75">
      <c r="A17" s="2">
        <v>16</v>
      </c>
      <c r="B17" t="s">
        <v>938</v>
      </c>
      <c r="C17" t="s">
        <v>939</v>
      </c>
      <c r="D17" s="2">
        <v>0</v>
      </c>
      <c r="E17" s="2">
        <v>50</v>
      </c>
      <c r="F17" s="3" t="str">
        <f>HYPERLINK("http://www.sah.co.rs/om-400a-m2.html?___store=serbian"," Pogledajte proizvod na sajtu -&gt;")</f>
        <v> Pogledajte proizvod na sajtu -&gt;</v>
      </c>
    </row>
    <row r="18" spans="1:6" ht="12.75">
      <c r="A18" s="2">
        <v>17</v>
      </c>
      <c r="B18" t="s">
        <v>940</v>
      </c>
      <c r="C18" t="s">
        <v>941</v>
      </c>
      <c r="D18" s="2">
        <v>19</v>
      </c>
      <c r="E18" s="2">
        <v>3</v>
      </c>
      <c r="F18" s="3" t="str">
        <f>HYPERLINK("http://www.sah.co.rs/ar-20b.html?___store=serbian"," Pogledajte proizvod na sajtu -&gt;")</f>
        <v> Pogledajte proizvod na sajtu -&gt;</v>
      </c>
    </row>
    <row r="19" spans="1:6" ht="12.75">
      <c r="A19" s="2">
        <v>18</v>
      </c>
      <c r="B19" t="s">
        <v>942</v>
      </c>
      <c r="C19" t="s">
        <v>943</v>
      </c>
      <c r="D19" s="2">
        <v>9</v>
      </c>
      <c r="E19" s="2">
        <v>3</v>
      </c>
      <c r="F19" s="3" t="str">
        <f>HYPERLINK("http://www.sah.co.rs/ar-10a.html?___store=serbian","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3.421875" style="0" customWidth="1"/>
    <col min="3" max="3" width="54.1406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944</v>
      </c>
      <c r="C2" t="s">
        <v>945</v>
      </c>
      <c r="D2" s="2">
        <v>12</v>
      </c>
      <c r="E2" s="2">
        <v>7</v>
      </c>
      <c r="F2" s="3" t="str">
        <f>HYPERLINK("http://www.sah.co.rs/adp-090401.html?___store=serbian"," Pogledajte proizvod na sajtu -&gt;")</f>
        <v> Pogledajte proizvod na sajtu -&gt;</v>
      </c>
    </row>
    <row r="3" spans="1:6" ht="12.75">
      <c r="A3" s="2">
        <v>2</v>
      </c>
      <c r="B3" t="s">
        <v>946</v>
      </c>
      <c r="C3" t="s">
        <v>947</v>
      </c>
      <c r="D3" s="2">
        <v>5</v>
      </c>
      <c r="E3" s="2">
        <v>50</v>
      </c>
      <c r="F3" s="3" t="str">
        <f>HYPERLINK("http://www.sah.co.rs/diff-oc.html?___store=serbian"," Pogledajte proizvod na sajtu -&gt;")</f>
        <v> Pogledajte proizvod na sajtu -&gt;</v>
      </c>
    </row>
    <row r="4" spans="1:6" ht="12.75">
      <c r="A4" s="2">
        <v>3</v>
      </c>
      <c r="B4" t="s">
        <v>948</v>
      </c>
      <c r="C4" t="s">
        <v>949</v>
      </c>
      <c r="D4" s="2">
        <v>5</v>
      </c>
      <c r="E4" s="2">
        <v>50</v>
      </c>
      <c r="F4" s="3" t="str">
        <f>HYPERLINK("http://www.sah.co.rs/oc-diff.html?___store=serbian"," Pogledajte proizvod na sajtu -&gt;")</f>
        <v> Pogledajte proizvod na sajtu -&gt;</v>
      </c>
    </row>
    <row r="5" spans="1:6" ht="12.75">
      <c r="A5" s="2">
        <v>4</v>
      </c>
      <c r="B5" t="s">
        <v>950</v>
      </c>
      <c r="C5" t="s">
        <v>951</v>
      </c>
      <c r="D5" s="2">
        <v>9</v>
      </c>
      <c r="E5" s="2">
        <v>20</v>
      </c>
      <c r="F5" s="3" t="str">
        <f>HYPERLINK("http://www.sah.co.rs/pc-rs232-485.html?___store=serbian"," Pogledajte proizvod na sajtu -&gt;")</f>
        <v> Pogledajte proizvod na sajtu -&gt;</v>
      </c>
    </row>
    <row r="6" spans="1:6" ht="12.75">
      <c r="A6" s="2">
        <v>5</v>
      </c>
      <c r="B6" t="s">
        <v>952</v>
      </c>
      <c r="C6" t="s">
        <v>953</v>
      </c>
      <c r="D6" s="2">
        <v>6</v>
      </c>
      <c r="E6" s="2">
        <v>25</v>
      </c>
      <c r="F6" s="3" t="str">
        <f>HYPERLINK("http://www.sah.co.rs/af-s485.html?___store=serbian"," Pogledajte proizvod na sajtu -&gt;")</f>
        <v> Pogledajte proizvod na sajtu -&gt;</v>
      </c>
    </row>
    <row r="7" spans="1:6" ht="12.75">
      <c r="A7" s="2">
        <v>6</v>
      </c>
      <c r="B7" t="s">
        <v>954</v>
      </c>
      <c r="C7" t="s">
        <v>955</v>
      </c>
      <c r="D7" s="2">
        <v>50</v>
      </c>
      <c r="E7" s="2">
        <v>25</v>
      </c>
      <c r="F7" s="3" t="str">
        <f>HYPERLINK("http://www.sah.co.rs/lx08a.html?___store=serbian"," Pogledajte proizvod na sajtu -&gt;")</f>
        <v> Pogledajte proizvod na sajtu -&gt;</v>
      </c>
    </row>
    <row r="8" spans="1:6" ht="12.75">
      <c r="A8" s="2">
        <v>7</v>
      </c>
      <c r="B8" t="s">
        <v>956</v>
      </c>
      <c r="C8" t="s">
        <v>957</v>
      </c>
      <c r="D8" s="2">
        <v>0</v>
      </c>
      <c r="E8" s="2">
        <v>25</v>
      </c>
      <c r="F8" s="3" t="str">
        <f>HYPERLINK("http://www.sah.co.rs/pc-usb-485.html?___store=serbian"," Pogledajte proizvod na sajtu -&gt;")</f>
        <v> Pogledajte proizvod na sajtu -&gt;</v>
      </c>
    </row>
    <row r="9" spans="1:6" ht="12.75">
      <c r="A9" s="2">
        <v>8</v>
      </c>
      <c r="B9" t="s">
        <v>958</v>
      </c>
      <c r="C9" t="s">
        <v>957</v>
      </c>
      <c r="D9" s="2">
        <v>22</v>
      </c>
      <c r="E9" s="2">
        <v>15</v>
      </c>
      <c r="F9" s="3" t="str">
        <f>HYPERLINK("http://www.sah.co.rs/lx08h.html?___store=serbian"," Pogledajte proizvod na sajtu -&gt;")</f>
        <v> Pogledajte proizvod na sajtu -&gt;</v>
      </c>
    </row>
    <row r="10" spans="1:6" ht="12.75">
      <c r="A10" s="2">
        <v>9</v>
      </c>
      <c r="B10" t="s">
        <v>959</v>
      </c>
      <c r="C10" t="s">
        <v>960</v>
      </c>
      <c r="D10" s="2">
        <v>9</v>
      </c>
      <c r="E10" s="2">
        <v>50</v>
      </c>
      <c r="F10" s="3" t="str">
        <f>HYPERLINK("http://www.sah.co.rs/ar-1520u.html?___store=serbian","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4.140625" style="0" customWidth="1"/>
    <col min="3" max="3" width="50.85156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961</v>
      </c>
      <c r="C2" t="s">
        <v>962</v>
      </c>
      <c r="D2" s="2">
        <v>145</v>
      </c>
      <c r="E2" s="2">
        <v>1.5</v>
      </c>
      <c r="F2" s="3" t="str">
        <f>HYPERLINK("http://www.sah.co.rs/yc100-508-10p.html?___store=serbian"," Pogledajte proizvod na sajtu -&gt;")</f>
        <v> Pogledajte proizvod na sajtu -&gt;</v>
      </c>
    </row>
    <row r="3" spans="1:6" ht="12.75">
      <c r="A3" s="2">
        <v>2</v>
      </c>
      <c r="B3" t="s">
        <v>963</v>
      </c>
      <c r="C3" t="s">
        <v>964</v>
      </c>
      <c r="D3" s="2">
        <v>198</v>
      </c>
      <c r="E3" s="2">
        <v>1.6</v>
      </c>
      <c r="F3" s="3" t="str">
        <f>HYPERLINK("http://www.sah.co.rs/yc100-508-11p.html?___store=serbian"," Pogledajte proizvod na sajtu -&gt;")</f>
        <v> Pogledajte proizvod na sajtu -&gt;</v>
      </c>
    </row>
    <row r="4" spans="1:6" ht="12.75">
      <c r="A4" s="2">
        <v>3</v>
      </c>
      <c r="B4" t="s">
        <v>965</v>
      </c>
      <c r="C4" t="s">
        <v>966</v>
      </c>
      <c r="D4" s="2">
        <v>115</v>
      </c>
      <c r="E4" s="2">
        <v>1.2</v>
      </c>
      <c r="F4" s="3" t="str">
        <f>HYPERLINK("http://www.sah.co.rs/yc420-350-16p.html?___store=serbian"," Pogledajte proizvod na sajtu -&gt;")</f>
        <v> Pogledajte proizvod na sajtu -&gt;</v>
      </c>
    </row>
    <row r="5" spans="1:6" ht="12.75">
      <c r="A5" s="2">
        <v>4</v>
      </c>
      <c r="B5" t="s">
        <v>967</v>
      </c>
      <c r="C5" t="s">
        <v>968</v>
      </c>
      <c r="D5" s="2">
        <v>139</v>
      </c>
      <c r="E5" s="2">
        <v>1.3</v>
      </c>
      <c r="F5" s="3" t="str">
        <f>HYPERLINK("http://www.sah.co.rs/yc420-381-16p.html?___store=serbian"," Pogledajte proizvod na sajtu -&gt;")</f>
        <v> Pogledajte proizvod na sajtu -&gt;</v>
      </c>
    </row>
    <row r="6" spans="1:6" ht="12.75">
      <c r="A6" s="2">
        <v>5</v>
      </c>
      <c r="B6" t="s">
        <v>969</v>
      </c>
      <c r="C6" t="s">
        <v>970</v>
      </c>
      <c r="D6" s="2">
        <v>100</v>
      </c>
      <c r="E6" s="2">
        <v>1.9</v>
      </c>
      <c r="F6" s="3" t="str">
        <f>HYPERLINK("http://www.sah.co.rs/yc100-508-16p.html?___store=serbian"," Pogledajte proizvod na sajtu -&gt;")</f>
        <v> Pogledajte proizvod na sajtu -&gt;</v>
      </c>
    </row>
    <row r="7" spans="1:6" ht="12.75">
      <c r="A7" s="2">
        <v>6</v>
      </c>
      <c r="B7" t="s">
        <v>971</v>
      </c>
      <c r="C7" t="s">
        <v>972</v>
      </c>
      <c r="D7" s="2">
        <v>159</v>
      </c>
      <c r="E7" s="2">
        <v>0.3</v>
      </c>
      <c r="F7" s="3" t="str">
        <f>HYPERLINK("http://www.sah.co.rs/hd-515r-2p.html?___store=serbian"," Pogledajte proizvod na sajtu -&gt;")</f>
        <v> Pogledajte proizvod na sajtu -&gt;</v>
      </c>
    </row>
    <row r="8" spans="1:6" ht="12.75">
      <c r="A8" s="2">
        <v>7</v>
      </c>
      <c r="B8" t="s">
        <v>973</v>
      </c>
      <c r="C8" t="s">
        <v>974</v>
      </c>
      <c r="D8" s="2">
        <v>500</v>
      </c>
      <c r="E8" s="2">
        <v>0.3</v>
      </c>
      <c r="F8" s="3" t="str">
        <f>HYPERLINK("http://www.sah.co.rs/yc100-508-2p.html?___store=serbian"," Pogledajte proizvod na sajtu -&gt;")</f>
        <v> Pogledajte proizvod na sajtu -&gt;</v>
      </c>
    </row>
    <row r="9" spans="1:6" ht="12.75">
      <c r="A9" s="2">
        <v>8</v>
      </c>
      <c r="B9" t="s">
        <v>975</v>
      </c>
      <c r="C9" t="s">
        <v>976</v>
      </c>
      <c r="D9" s="2">
        <v>144</v>
      </c>
      <c r="E9" s="2">
        <v>0.6</v>
      </c>
      <c r="F9" s="3" t="str">
        <f>HYPERLINK("http://www.sah.co.rs/hd-515r-4p.html?___store=serbian"," Pogledajte proizvod na sajtu -&gt;")</f>
        <v> Pogledajte proizvod na sajtu -&gt;</v>
      </c>
    </row>
    <row r="10" spans="1:6" ht="12.75">
      <c r="A10" s="2">
        <v>9</v>
      </c>
      <c r="B10" t="s">
        <v>977</v>
      </c>
      <c r="C10" t="s">
        <v>978</v>
      </c>
      <c r="D10" s="2">
        <v>498</v>
      </c>
      <c r="E10" s="2">
        <v>0.6</v>
      </c>
      <c r="F10" s="3" t="str">
        <f>HYPERLINK("http://www.sah.co.rs/yc100-508-4p.html?___store=serbian"," Pogledajte proizvod na sajtu -&gt;")</f>
        <v> Pogledajte proizvod na sajtu -&gt;</v>
      </c>
    </row>
    <row r="11" spans="1:6" ht="12.75">
      <c r="A11" s="2">
        <v>10</v>
      </c>
      <c r="B11" t="s">
        <v>979</v>
      </c>
      <c r="C11" t="s">
        <v>980</v>
      </c>
      <c r="D11" s="2">
        <v>155</v>
      </c>
      <c r="E11" s="2">
        <v>0.8</v>
      </c>
      <c r="F11" s="3" t="str">
        <f>HYPERLINK("http://www.sah.co.rs/hd-515r-5p.html?___store=serbian"," Pogledajte proizvod na sajtu -&gt;")</f>
        <v> Pogledajte proizvod na sajtu -&gt;</v>
      </c>
    </row>
    <row r="12" spans="1:6" ht="12.75">
      <c r="A12" s="2">
        <v>11</v>
      </c>
      <c r="B12" t="s">
        <v>981</v>
      </c>
      <c r="C12" t="s">
        <v>982</v>
      </c>
      <c r="D12" s="2">
        <v>556</v>
      </c>
      <c r="E12" s="2">
        <v>0.8</v>
      </c>
      <c r="F12" s="3" t="str">
        <f>HYPERLINK("http://www.sah.co.rs/yc100-508-5p.html?___store=serbian"," Pogledajte proizvod na sajtu -&gt;")</f>
        <v> Pogledajte proizvod na sajtu -&gt;</v>
      </c>
    </row>
    <row r="13" spans="1:6" ht="12.75">
      <c r="A13" s="2">
        <v>12</v>
      </c>
      <c r="B13" t="s">
        <v>983</v>
      </c>
      <c r="C13" t="s">
        <v>984</v>
      </c>
      <c r="D13" s="2">
        <v>156</v>
      </c>
      <c r="E13" s="2">
        <v>0.6</v>
      </c>
      <c r="F13" s="3" t="str">
        <f>HYPERLINK("http://www.sah.co.rs/yc420-350-8p.html?___store=serbian"," Pogledajte proizvod na sajtu -&gt;")</f>
        <v> Pogledajte proizvod na sajtu -&gt;</v>
      </c>
    </row>
    <row r="14" spans="1:6" ht="12.75">
      <c r="A14" s="2">
        <v>13</v>
      </c>
      <c r="B14" t="s">
        <v>985</v>
      </c>
      <c r="C14" t="s">
        <v>986</v>
      </c>
      <c r="D14" s="2">
        <v>250</v>
      </c>
      <c r="E14" s="2">
        <v>1.2</v>
      </c>
      <c r="F14" s="3" t="str">
        <f>HYPERLINK("http://www.sah.co.rs/yc100-508-8p.html?___store=serbian"," Pogledajte proizvod na sajtu -&gt;")</f>
        <v> Pogledajte proizvod na sajtu -&gt;</v>
      </c>
    </row>
    <row r="15" spans="1:6" ht="12.75">
      <c r="A15" s="2">
        <v>14</v>
      </c>
      <c r="B15" t="s">
        <v>987</v>
      </c>
      <c r="C15" t="s">
        <v>988</v>
      </c>
      <c r="D15" s="2">
        <v>2425</v>
      </c>
      <c r="E15" s="2">
        <v>0.66</v>
      </c>
      <c r="F15" s="3" t="str">
        <f>HYPERLINK("http://www.sah.co.rs/flat-10-mk.html?___store=serbian"," Pogledajte proizvod na sajtu -&gt;")</f>
        <v> Pogledajte proizvod na sajtu -&gt;</v>
      </c>
    </row>
    <row r="16" spans="1:6" ht="12.75">
      <c r="A16" s="2">
        <v>15</v>
      </c>
      <c r="B16" t="s">
        <v>989</v>
      </c>
      <c r="C16" t="s">
        <v>990</v>
      </c>
      <c r="D16" s="2">
        <v>2406</v>
      </c>
      <c r="E16" s="2">
        <v>0.12</v>
      </c>
      <c r="F16" s="3" t="str">
        <f>HYPERLINK("http://www.sah.co.rs/flat-10.html?___store=serbian"," Pogledajte proizvod na sajtu -&gt;")</f>
        <v> Pogledajte proizvod na sajtu -&gt;</v>
      </c>
    </row>
    <row r="17" spans="1:6" ht="12.75">
      <c r="A17" s="2">
        <v>16</v>
      </c>
      <c r="B17" t="s">
        <v>991</v>
      </c>
      <c r="C17" t="s">
        <v>992</v>
      </c>
      <c r="D17" s="2">
        <v>8347</v>
      </c>
      <c r="E17" s="2">
        <v>0.1</v>
      </c>
      <c r="F17" s="3" t="str">
        <f>HYPERLINK("http://www.sah.co.rs/ts-502-2p.html?___store=serbian"," Pogledajte proizvod na sajtu -&gt;")</f>
        <v> Pogledajte proizvod na sajtu -&gt;</v>
      </c>
    </row>
    <row r="18" spans="1:6" ht="12.75">
      <c r="A18" s="2">
        <v>17</v>
      </c>
      <c r="B18" t="s">
        <v>993</v>
      </c>
      <c r="C18" t="s">
        <v>994</v>
      </c>
      <c r="D18" s="2">
        <v>2325</v>
      </c>
      <c r="E18" s="2">
        <v>0.15</v>
      </c>
      <c r="F18" s="3" t="str">
        <f>HYPERLINK("http://www.sah.co.rs/ts-502-3p.html?___store=serbian","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6.8515625" style="0" customWidth="1"/>
    <col min="3" max="3" width="85.4218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995</v>
      </c>
      <c r="C2" t="s">
        <v>996</v>
      </c>
      <c r="D2" s="2">
        <v>7</v>
      </c>
      <c r="E2" s="2">
        <v>160</v>
      </c>
      <c r="F2" s="3" t="str">
        <f>HYPERLINK("http://www.sah.co.rs/xm-18.html?___store=serbian","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9.28125" style="0" customWidth="1"/>
    <col min="3" max="3" width="52.281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997</v>
      </c>
      <c r="C2" t="s">
        <v>998</v>
      </c>
      <c r="D2" s="2">
        <v>78</v>
      </c>
      <c r="E2" s="2">
        <v>17</v>
      </c>
      <c r="F2" s="3" t="str">
        <f>HYPERLINK("http://www.sah.co.rs/nptr.html?___store=serbian"," Pogledajte proizvod na sajtu -&gt;")</f>
        <v> Pogledajte proizvod na sajtu -&gt;</v>
      </c>
    </row>
    <row r="3" spans="1:6" ht="12.75">
      <c r="A3" s="2">
        <v>2</v>
      </c>
      <c r="B3" t="s">
        <v>999</v>
      </c>
      <c r="C3" t="s">
        <v>1000</v>
      </c>
      <c r="D3" s="2">
        <v>0</v>
      </c>
      <c r="E3" s="2">
        <v>15</v>
      </c>
      <c r="F3" s="3" t="str">
        <f>HYPERLINK("http://www.sah.co.rs/dhcy1-s.html?___store=serbian","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2.00390625" style="0" customWidth="1"/>
    <col min="3" max="3" width="72.003906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1001</v>
      </c>
      <c r="C2" t="s">
        <v>1002</v>
      </c>
      <c r="D2" s="2">
        <v>0</v>
      </c>
      <c r="E2" s="2">
        <v>3</v>
      </c>
      <c r="F2" s="3" t="str">
        <f>HYPERLINK("http://www.sah.co.rs/hy-l800.html?___store=serbian"," Pogledajte proizvod na sajtu -&gt;")</f>
        <v> Pogledajte proizvod na sajtu -&gt;</v>
      </c>
    </row>
    <row r="3" spans="1:6" ht="12.75">
      <c r="A3" s="2">
        <v>2</v>
      </c>
      <c r="B3" t="s">
        <v>1003</v>
      </c>
      <c r="C3" t="s">
        <v>1004</v>
      </c>
      <c r="D3" s="2">
        <v>288</v>
      </c>
      <c r="E3" s="2">
        <v>0.3</v>
      </c>
      <c r="F3" s="3" t="str">
        <f>HYPERLINK("http://www.sah.co.rs/ms-10.html?___store=serbian"," Pogledajte proizvod na sajtu -&gt;")</f>
        <v> Pogledajte proizvod na sajtu -&gt;</v>
      </c>
    </row>
    <row r="4" spans="1:6" ht="12.75">
      <c r="A4" s="2">
        <v>3</v>
      </c>
      <c r="B4" t="s">
        <v>1005</v>
      </c>
      <c r="C4" t="s">
        <v>1006</v>
      </c>
      <c r="D4" s="2">
        <v>173</v>
      </c>
      <c r="E4" s="2">
        <v>6</v>
      </c>
      <c r="F4" s="3" t="str">
        <f>HYPERLINK("http://www.sah.co.rs/wl-ca12-2.html?___store=serbian"," Pogledajte proizvod na sajtu -&gt;")</f>
        <v> Pogledajte proizvod na sajtu -&gt;</v>
      </c>
    </row>
    <row r="5" spans="1:6" ht="12.75">
      <c r="A5" s="2">
        <v>4</v>
      </c>
      <c r="B5" t="s">
        <v>1007</v>
      </c>
      <c r="C5" t="s">
        <v>1006</v>
      </c>
      <c r="D5" s="2">
        <v>0</v>
      </c>
      <c r="E5" s="2">
        <v>6</v>
      </c>
      <c r="F5" s="3" t="str">
        <f>HYPERLINK("http://www.sah.co.rs/wl-d2.html?___store=serbian"," Pogledajte proizvod na sajtu -&gt;")</f>
        <v> Pogledajte proizvod na sajtu -&gt;</v>
      </c>
    </row>
    <row r="6" spans="1:6" ht="12.75">
      <c r="A6" s="2">
        <v>5</v>
      </c>
      <c r="B6" t="s">
        <v>1008</v>
      </c>
      <c r="C6" t="s">
        <v>1006</v>
      </c>
      <c r="D6" s="2">
        <v>55</v>
      </c>
      <c r="E6" s="2">
        <v>6</v>
      </c>
      <c r="F6" s="3" t="str">
        <f>HYPERLINK("http://www.sah.co.rs/wl-ca32-41.html?___store=serbian"," Pogledajte proizvod na sajtu -&gt;")</f>
        <v> Pogledajte proizvod na sajtu -&gt;</v>
      </c>
    </row>
    <row r="7" spans="1:6" ht="12.75">
      <c r="A7" s="2">
        <v>6</v>
      </c>
      <c r="B7" t="s">
        <v>1009</v>
      </c>
      <c r="C7" t="s">
        <v>1010</v>
      </c>
      <c r="D7" s="2">
        <v>0</v>
      </c>
      <c r="E7" s="2">
        <v>6</v>
      </c>
      <c r="F7" s="3" t="str">
        <f>HYPERLINK("http://www.sah.co.rs/tz-8108.html?___store=serbian"," Pogledajte proizvod na sajtu -&gt;")</f>
        <v> Pogledajte proizvod na sajtu -&gt;</v>
      </c>
    </row>
    <row r="8" spans="1:6" ht="12.75">
      <c r="A8" s="2">
        <v>7</v>
      </c>
      <c r="B8" t="s">
        <v>1011</v>
      </c>
      <c r="C8" t="s">
        <v>1010</v>
      </c>
      <c r="D8" s="2">
        <v>28</v>
      </c>
      <c r="E8" s="2">
        <v>6</v>
      </c>
      <c r="F8" s="3" t="str">
        <f>HYPERLINK("http://www.sah.co.rs/tz-8107.html?___store=serbian"," Pogledajte proizvod na sajtu -&gt;")</f>
        <v> Pogledajte proizvod na sajtu -&gt;</v>
      </c>
    </row>
    <row r="9" spans="1:6" ht="12.75">
      <c r="A9" s="2">
        <v>8</v>
      </c>
      <c r="B9" t="s">
        <v>1012</v>
      </c>
      <c r="C9" t="s">
        <v>1010</v>
      </c>
      <c r="D9" s="2">
        <v>31</v>
      </c>
      <c r="E9" s="2">
        <v>6</v>
      </c>
      <c r="F9" s="3" t="str">
        <f>HYPERLINK("http://www.sah.co.rs/tz-8169.html?___store=serbian"," Pogledajte proizvod na sajtu -&gt;")</f>
        <v> Pogledajte proizvod na sajtu -&gt;</v>
      </c>
    </row>
    <row r="10" spans="1:6" ht="12.75">
      <c r="A10" s="2">
        <v>9</v>
      </c>
      <c r="B10" t="s">
        <v>1013</v>
      </c>
      <c r="C10" t="s">
        <v>1010</v>
      </c>
      <c r="D10" s="2">
        <v>67</v>
      </c>
      <c r="E10" s="2">
        <v>6</v>
      </c>
      <c r="F10" s="3" t="str">
        <f>HYPERLINK("http://www.sah.co.rs/tz-8104.html?___store=serbian"," Pogledajte proizvod na sajtu -&gt;")</f>
        <v> Pogledajte proizvod na sajtu -&gt;</v>
      </c>
    </row>
    <row r="11" spans="1:6" ht="12.75">
      <c r="A11" s="2">
        <v>10</v>
      </c>
      <c r="B11" t="s">
        <v>1014</v>
      </c>
      <c r="C11" t="s">
        <v>1010</v>
      </c>
      <c r="D11" s="2">
        <v>99</v>
      </c>
      <c r="E11" s="2">
        <v>6</v>
      </c>
      <c r="F11" s="3" t="str">
        <f>HYPERLINK("http://www.sah.co.rs/tz-8122.html?___store=serbian"," Pogledajte proizvod na sajtu -&gt;")</f>
        <v> Pogledajte proizvod na sajtu -&gt;</v>
      </c>
    </row>
    <row r="12" spans="1:6" ht="12.75">
      <c r="A12" s="2">
        <v>11</v>
      </c>
      <c r="B12" t="s">
        <v>1015</v>
      </c>
      <c r="C12" t="s">
        <v>1010</v>
      </c>
      <c r="D12" s="2">
        <v>18</v>
      </c>
      <c r="E12" s="2">
        <v>6</v>
      </c>
      <c r="F12" s="3" t="str">
        <f>HYPERLINK("http://www.sah.co.rs/tz-8112.html?___store=serbian"," Pogledajte proizvod na sajtu -&gt;")</f>
        <v> Pogledajte proizvod na sajtu -&gt;</v>
      </c>
    </row>
    <row r="13" spans="1:6" ht="12.75">
      <c r="A13" s="2">
        <v>12</v>
      </c>
      <c r="B13" t="s">
        <v>1016</v>
      </c>
      <c r="C13" t="s">
        <v>1010</v>
      </c>
      <c r="D13" s="2">
        <v>29</v>
      </c>
      <c r="E13" s="2">
        <v>6</v>
      </c>
      <c r="F13" s="3" t="str">
        <f>HYPERLINK("http://www.sah.co.rs/tz-8111.html?___store=serbian"," Pogledajte proizvod na sajtu -&gt;")</f>
        <v> Pogledajte proizvod na sajtu -&gt;</v>
      </c>
    </row>
    <row r="14" spans="1:6" ht="12.75">
      <c r="A14" s="2">
        <v>13</v>
      </c>
      <c r="B14" t="s">
        <v>1017</v>
      </c>
      <c r="C14" t="s">
        <v>1018</v>
      </c>
      <c r="D14" s="2">
        <v>63</v>
      </c>
      <c r="E14" s="2">
        <v>8</v>
      </c>
      <c r="F14" s="3" t="str">
        <f>HYPERLINK("http://www.sah.co.rs/xck-s102.html?___store=serbian"," Pogledajte proizvod na sajtu -&gt;")</f>
        <v> Pogledajte proizvod na sajtu -&gt;</v>
      </c>
    </row>
    <row r="15" spans="1:6" ht="12.75">
      <c r="A15" s="2">
        <v>14</v>
      </c>
      <c r="B15" t="s">
        <v>1019</v>
      </c>
      <c r="C15" t="s">
        <v>1018</v>
      </c>
      <c r="D15" s="2">
        <v>6</v>
      </c>
      <c r="E15" s="2">
        <v>7.5</v>
      </c>
      <c r="F15" s="3" t="str">
        <f>HYPERLINK("http://www.sah.co.rs/xck-s141.html?___store=serbian"," Pogledajte proizvod na sajtu -&gt;")</f>
        <v> Pogledajte proizvod na sajtu -&gt;</v>
      </c>
    </row>
    <row r="16" spans="1:6" ht="12.75">
      <c r="A16" s="2">
        <v>15</v>
      </c>
      <c r="B16" t="s">
        <v>1020</v>
      </c>
      <c r="C16" t="s">
        <v>1018</v>
      </c>
      <c r="D16" s="2">
        <v>37</v>
      </c>
      <c r="E16" s="2">
        <v>5</v>
      </c>
      <c r="F16" s="3" t="str">
        <f>HYPERLINK("http://www.sah.co.rs/xck-t106.html?___store=serbian"," Pogledajte proizvod na sajtu -&gt;")</f>
        <v> Pogledajte proizvod na sajtu -&gt;</v>
      </c>
    </row>
    <row r="17" spans="1:6" ht="12.75">
      <c r="A17" s="2">
        <v>16</v>
      </c>
      <c r="B17" t="s">
        <v>1021</v>
      </c>
      <c r="C17" t="s">
        <v>1018</v>
      </c>
      <c r="D17" s="2">
        <v>0</v>
      </c>
      <c r="E17" s="2">
        <v>6</v>
      </c>
      <c r="F17" s="3" t="str">
        <f>HYPERLINK("http://www.sah.co.rs/xck-p106.html?___store=serbian"," Pogledajte proizvod na sajtu -&gt;")</f>
        <v> Pogledajte proizvod na sajtu -&gt;</v>
      </c>
    </row>
    <row r="18" spans="1:6" ht="12.75">
      <c r="A18" s="2">
        <v>17</v>
      </c>
      <c r="B18" t="s">
        <v>1022</v>
      </c>
      <c r="C18" t="s">
        <v>1018</v>
      </c>
      <c r="D18" s="2">
        <v>102</v>
      </c>
      <c r="E18" s="2">
        <v>5</v>
      </c>
      <c r="F18" s="3" t="str">
        <f>HYPERLINK("http://www.sah.co.rs/xck-t118.html?___store=serbian"," Pogledajte proizvod na sajtu -&gt;")</f>
        <v> Pogledajte proizvod na sajtu -&gt;</v>
      </c>
    </row>
    <row r="19" spans="1:6" ht="12.75">
      <c r="A19" s="2">
        <v>18</v>
      </c>
      <c r="B19" t="s">
        <v>1023</v>
      </c>
      <c r="C19" t="s">
        <v>1018</v>
      </c>
      <c r="D19" s="2">
        <v>68</v>
      </c>
      <c r="E19" s="2">
        <v>5</v>
      </c>
      <c r="F19" s="3" t="str">
        <f>HYPERLINK("http://www.sah.co.rs/xck-t121.html?___store=serbian"," Pogledajte proizvod na sajtu -&gt;")</f>
        <v> Pogledajte proizvod na sajtu -&gt;</v>
      </c>
    </row>
    <row r="20" spans="1:6" ht="12.75">
      <c r="A20" s="2">
        <v>19</v>
      </c>
      <c r="B20" t="s">
        <v>1024</v>
      </c>
      <c r="C20" t="s">
        <v>1025</v>
      </c>
      <c r="D20" s="2">
        <v>1</v>
      </c>
      <c r="E20" s="2">
        <v>10</v>
      </c>
      <c r="F20" s="3" t="str">
        <f>HYPERLINK("http://www.sah.co.rs/xck-j167.html?___store=serbian"," Pogledajte proizvod na sajtu -&gt;")</f>
        <v> Pogledajte proizvod na sajtu -&gt;</v>
      </c>
    </row>
    <row r="21" spans="1:6" ht="12.75">
      <c r="A21" s="2">
        <v>20</v>
      </c>
      <c r="B21" t="s">
        <v>1026</v>
      </c>
      <c r="C21" t="s">
        <v>1025</v>
      </c>
      <c r="D21" s="2">
        <v>7</v>
      </c>
      <c r="E21" s="2">
        <v>10</v>
      </c>
      <c r="F21" s="3" t="str">
        <f>HYPERLINK("http://www.sah.co.rs/xck-j108.html?___store=serbian"," Pogledajte proizvod na sajtu -&gt;")</f>
        <v> Pogledajte proizvod na sajtu -&gt;</v>
      </c>
    </row>
    <row r="22" spans="1:6" ht="12.75">
      <c r="A22" s="2">
        <v>21</v>
      </c>
      <c r="B22" t="s">
        <v>1027</v>
      </c>
      <c r="C22" t="s">
        <v>1025</v>
      </c>
      <c r="D22" s="2">
        <v>39</v>
      </c>
      <c r="E22" s="2">
        <v>10</v>
      </c>
      <c r="F22" s="3" t="str">
        <f>HYPERLINK("http://www.sah.co.rs/xck-j121.html?___store=serbian"," Pogledajte proizvod na sajtu -&gt;")</f>
        <v> Pogledajte proizvod na sajtu -&gt;</v>
      </c>
    </row>
    <row r="23" spans="1:6" ht="12.75">
      <c r="A23" s="2">
        <v>22</v>
      </c>
      <c r="B23" t="s">
        <v>1028</v>
      </c>
      <c r="C23" t="s">
        <v>1029</v>
      </c>
      <c r="D23" s="2">
        <v>13</v>
      </c>
      <c r="E23" s="2">
        <v>3</v>
      </c>
      <c r="F23" s="3" t="str">
        <f>HYPERLINK("http://www.sah.co.rs/me-8107.html?___store=serbian"," Pogledajte proizvod na sajtu -&gt;")</f>
        <v> Pogledajte proizvod na sajtu -&gt;</v>
      </c>
    </row>
    <row r="24" spans="1:6" ht="12.75">
      <c r="A24" s="2">
        <v>23</v>
      </c>
      <c r="B24" t="s">
        <v>1030</v>
      </c>
      <c r="C24" t="s">
        <v>1031</v>
      </c>
      <c r="D24" s="2">
        <v>25</v>
      </c>
      <c r="E24" s="2">
        <v>8</v>
      </c>
      <c r="F24" s="3" t="str">
        <f>HYPERLINK("http://www.sah.co.rs/hy-ls803rn.html?___store=serbian"," Pogledajte proizvod na sajtu -&gt;")</f>
        <v> Pogledajte proizvod na sajtu -&gt;</v>
      </c>
    </row>
    <row r="25" spans="1:6" ht="12.75">
      <c r="A25" s="2">
        <v>24</v>
      </c>
      <c r="B25" t="s">
        <v>1032</v>
      </c>
      <c r="C25" t="s">
        <v>1033</v>
      </c>
      <c r="D25" s="2">
        <v>78</v>
      </c>
      <c r="E25" s="2">
        <v>10</v>
      </c>
      <c r="F25" s="3" t="str">
        <f>HYPERLINK("http://www.sah.co.rs/hy-l807.html?___store=serbian"," Pogledajte proizvod na sajtu -&gt;")</f>
        <v> Pogledajte proizvod na sajtu -&gt;</v>
      </c>
    </row>
    <row r="26" spans="1:6" ht="12.75">
      <c r="A26" s="2">
        <v>25</v>
      </c>
      <c r="B26" t="s">
        <v>1034</v>
      </c>
      <c r="C26" t="s">
        <v>1033</v>
      </c>
      <c r="D26" s="2">
        <v>41</v>
      </c>
      <c r="E26" s="2">
        <v>10</v>
      </c>
      <c r="F26" s="3" t="str">
        <f>HYPERLINK("http://www.sah.co.rs/hy-l802c.html?___store=serbian"," Pogledajte proizvod na sajtu -&gt;")</f>
        <v> Pogledajte proizvod na sajtu -&gt;</v>
      </c>
    </row>
    <row r="27" spans="1:6" ht="12.75">
      <c r="A27" s="2">
        <v>26</v>
      </c>
      <c r="B27" t="s">
        <v>1035</v>
      </c>
      <c r="C27" t="s">
        <v>1033</v>
      </c>
      <c r="D27" s="2">
        <v>95</v>
      </c>
      <c r="E27" s="2">
        <v>10</v>
      </c>
      <c r="F27" s="3" t="str">
        <f>HYPERLINK("http://www.sah.co.rs/hy-l808.html?___store=serbian"," Pogledajte proizvod na sajtu -&gt;")</f>
        <v> Pogledajte proizvod na sajtu -&gt;</v>
      </c>
    </row>
    <row r="28" spans="1:6" ht="12.75">
      <c r="A28" s="2">
        <v>27</v>
      </c>
      <c r="B28" t="s">
        <v>1036</v>
      </c>
      <c r="C28" t="s">
        <v>1033</v>
      </c>
      <c r="D28" s="2">
        <v>90</v>
      </c>
      <c r="E28" s="2">
        <v>10</v>
      </c>
      <c r="F28" s="3" t="str">
        <f>HYPERLINK("http://www.sah.co.rs/hy-l803.html?___store=serbian"," Pogledajte proizvod na sajtu -&gt;")</f>
        <v> Pogledajte proizvod na sajtu -&gt;</v>
      </c>
    </row>
    <row r="29" spans="1:6" ht="12.75">
      <c r="A29" s="2">
        <v>28</v>
      </c>
      <c r="B29" t="s">
        <v>1037</v>
      </c>
      <c r="C29" t="s">
        <v>1033</v>
      </c>
      <c r="D29" s="2">
        <v>352</v>
      </c>
      <c r="E29" s="2">
        <v>10</v>
      </c>
      <c r="F29" s="3" t="str">
        <f>HYPERLINK("http://www.sah.co.rs/hy-l804.html?___store=serbian"," Pogledajte proizvod na sajtu -&gt;")</f>
        <v> Pogledajte proizvod na sajtu -&gt;</v>
      </c>
    </row>
    <row r="30" spans="1:6" ht="12.75">
      <c r="A30" s="2">
        <v>29</v>
      </c>
      <c r="B30" t="s">
        <v>1038</v>
      </c>
      <c r="C30" t="s">
        <v>1033</v>
      </c>
      <c r="D30" s="2">
        <v>69</v>
      </c>
      <c r="E30" s="2">
        <v>10</v>
      </c>
      <c r="F30" s="3" t="str">
        <f>HYPERLINK("http://www.sah.co.rs/hy-l809.html?___store=serbian"," Pogledajte proizvod na sajtu -&gt;")</f>
        <v> Pogledajte proizvod na sajtu -&gt;</v>
      </c>
    </row>
    <row r="31" spans="1:6" ht="12.75">
      <c r="A31" s="2">
        <v>30</v>
      </c>
      <c r="B31" t="s">
        <v>1039</v>
      </c>
      <c r="C31" t="s">
        <v>1033</v>
      </c>
      <c r="D31" s="2">
        <v>225</v>
      </c>
      <c r="E31" s="2">
        <v>10</v>
      </c>
      <c r="F31" s="3" t="str">
        <f>HYPERLINK("http://www.sah.co.rs/hy-l802.html?___store=serbian"," Pogledajte proizvod na sajtu -&gt;")</f>
        <v> Pogledajte proizvod na sajtu -&gt;</v>
      </c>
    </row>
    <row r="32" spans="1:6" ht="12.75">
      <c r="A32" s="2">
        <v>31</v>
      </c>
      <c r="B32" t="s">
        <v>1040</v>
      </c>
      <c r="C32" t="s">
        <v>1041</v>
      </c>
      <c r="D32" s="2">
        <v>2</v>
      </c>
      <c r="E32" s="2">
        <v>5</v>
      </c>
      <c r="F32" s="3" t="str">
        <f>HYPERLINK("http://www.sah.co.rs/mea-9107.html?___store=serbian"," Pogledajte proizvod na sajtu -&gt;")</f>
        <v> Pogledajte proizvod na sajtu -&gt;</v>
      </c>
    </row>
    <row r="33" spans="1:6" ht="12.75">
      <c r="A33" s="2">
        <v>32</v>
      </c>
      <c r="B33" t="s">
        <v>1042</v>
      </c>
      <c r="C33" t="s">
        <v>1041</v>
      </c>
      <c r="D33" s="2">
        <v>7</v>
      </c>
      <c r="E33" s="2">
        <v>5</v>
      </c>
      <c r="F33" s="3" t="str">
        <f>HYPERLINK("http://www.sah.co.rs/mea-9166.html?___store=serbian"," Pogledajte proizvod na sajtu -&gt;")</f>
        <v> Pogledajte proizvod na sajtu -&gt;</v>
      </c>
    </row>
    <row r="34" spans="1:6" ht="12.75">
      <c r="A34" s="2">
        <v>33</v>
      </c>
      <c r="B34" t="s">
        <v>1043</v>
      </c>
      <c r="C34" t="s">
        <v>1044</v>
      </c>
      <c r="D34" s="2">
        <v>26</v>
      </c>
      <c r="E34" s="2">
        <v>15</v>
      </c>
      <c r="F34" s="3" t="str">
        <f>HYPERLINK("http://www.sah.co.rs/hy-m907.html?___store=serbian"," Pogledajte proizvod na sajtu -&gt;")</f>
        <v> Pogledajte proizvod na sajtu -&gt;</v>
      </c>
    </row>
    <row r="35" spans="1:6" ht="12.75">
      <c r="A35" s="2">
        <v>34</v>
      </c>
      <c r="B35" t="s">
        <v>1045</v>
      </c>
      <c r="C35" t="s">
        <v>1044</v>
      </c>
      <c r="D35" s="2">
        <v>16</v>
      </c>
      <c r="E35" s="2">
        <v>15</v>
      </c>
      <c r="F35" s="3" t="str">
        <f>HYPERLINK("http://www.sah.co.rs/hy-m909.html?___store=serbian"," Pogledajte proizvod na sajtu -&gt;")</f>
        <v> Pogledajte proizvod na sajtu -&gt;</v>
      </c>
    </row>
    <row r="36" spans="1:6" ht="12.75">
      <c r="A36" s="2">
        <v>35</v>
      </c>
      <c r="B36" t="s">
        <v>1046</v>
      </c>
      <c r="C36" t="s">
        <v>1044</v>
      </c>
      <c r="D36" s="2">
        <v>39</v>
      </c>
      <c r="E36" s="2">
        <v>15</v>
      </c>
      <c r="F36" s="3" t="str">
        <f>HYPERLINK("http://www.sah.co.rs/hy-m902.html?___store=serbian"," Pogledajte proizvod na sajtu -&gt;")</f>
        <v> Pogledajte proizvod na sajtu -&gt;</v>
      </c>
    </row>
    <row r="37" spans="1:6" ht="12.75">
      <c r="A37" s="2">
        <v>36</v>
      </c>
      <c r="B37" t="s">
        <v>1047</v>
      </c>
      <c r="C37" t="s">
        <v>1044</v>
      </c>
      <c r="D37" s="2">
        <v>41</v>
      </c>
      <c r="E37" s="2">
        <v>25</v>
      </c>
      <c r="F37" s="3" t="str">
        <f>HYPERLINK("http://www.sah.co.rs/hy-m908l.html?___store=serbian"," Pogledajte proizvod na sajtu -&gt;")</f>
        <v> Pogledajte proizvod na sajtu -&gt;</v>
      </c>
    </row>
    <row r="38" spans="1:6" ht="12.75">
      <c r="A38" s="2">
        <v>37</v>
      </c>
      <c r="B38" t="s">
        <v>1048</v>
      </c>
      <c r="C38" t="s">
        <v>1044</v>
      </c>
      <c r="D38" s="2">
        <v>26</v>
      </c>
      <c r="E38" s="2">
        <v>15</v>
      </c>
      <c r="F38" s="3" t="str">
        <f>HYPERLINK("http://www.sah.co.rs/hy-m903.html?___store=serbian"," Pogledajte proizvod na sajtu -&gt;")</f>
        <v> Pogledajte proizvod na sajtu -&gt;</v>
      </c>
    </row>
    <row r="39" spans="1:6" ht="12.75">
      <c r="A39" s="2">
        <v>38</v>
      </c>
      <c r="B39" t="s">
        <v>1049</v>
      </c>
      <c r="C39" t="s">
        <v>1044</v>
      </c>
      <c r="D39" s="2">
        <v>36</v>
      </c>
      <c r="E39" s="2">
        <v>25</v>
      </c>
      <c r="F39" s="3" t="str">
        <f>HYPERLINK("http://www.sah.co.rs/hy-m908r.html?___store=serbian"," Pogledajte proizvod na sajtu -&gt;")</f>
        <v> Pogledajte proizvod na sajtu -&gt;</v>
      </c>
    </row>
    <row r="40" spans="1:6" ht="12.75">
      <c r="A40" s="2">
        <v>39</v>
      </c>
      <c r="B40" t="s">
        <v>1050</v>
      </c>
      <c r="C40" t="s">
        <v>1044</v>
      </c>
      <c r="D40" s="2">
        <v>194</v>
      </c>
      <c r="E40" s="2">
        <v>15</v>
      </c>
      <c r="F40" s="3" t="str">
        <f>HYPERLINK("http://www.sah.co.rs/hy-m904.html?___store=serbian"," Pogledajte proizvod na sajtu -&gt;")</f>
        <v> Pogledajte proizvod na sajtu -&gt;</v>
      </c>
    </row>
    <row r="41" spans="1:6" ht="12.75">
      <c r="A41" s="2">
        <v>40</v>
      </c>
      <c r="B41" t="s">
        <v>1051</v>
      </c>
      <c r="C41" t="s">
        <v>1052</v>
      </c>
      <c r="D41" s="2">
        <v>88</v>
      </c>
      <c r="E41" s="2">
        <v>4</v>
      </c>
      <c r="F41" s="3" t="str">
        <f>HYPERLINK("http://www.sah.co.rs/hy-l707c.html?___store=serbian"," Pogledajte proizvod na sajtu -&gt;")</f>
        <v> Pogledajte proizvod na sajtu -&gt;</v>
      </c>
    </row>
    <row r="42" spans="1:6" ht="12.75">
      <c r="A42" s="2">
        <v>41</v>
      </c>
      <c r="B42" t="s">
        <v>1053</v>
      </c>
      <c r="C42" t="s">
        <v>1052</v>
      </c>
      <c r="D42" s="2">
        <v>214</v>
      </c>
      <c r="E42" s="2">
        <v>3.5</v>
      </c>
      <c r="F42" s="3" t="str">
        <f>HYPERLINK("http://www.sah.co.rs/hy-p701b.html?___store=serbian"," Pogledajte proizvod na sajtu -&gt;")</f>
        <v> Pogledajte proizvod na sajtu -&gt;</v>
      </c>
    </row>
    <row r="43" spans="1:6" ht="12.75">
      <c r="A43" s="2">
        <v>42</v>
      </c>
      <c r="B43" t="s">
        <v>1054</v>
      </c>
      <c r="C43" t="s">
        <v>1052</v>
      </c>
      <c r="D43" s="2">
        <v>152</v>
      </c>
      <c r="E43" s="2">
        <v>3.5</v>
      </c>
      <c r="F43" s="3" t="str">
        <f>HYPERLINK("http://www.sah.co.rs/hy-r704a.html?___store=serbian"," Pogledajte proizvod na sajtu -&gt;")</f>
        <v> Pogledajte proizvod na sajtu -&gt;</v>
      </c>
    </row>
    <row r="44" spans="1:6" ht="12.75">
      <c r="A44" s="2">
        <v>43</v>
      </c>
      <c r="B44" t="s">
        <v>1055</v>
      </c>
      <c r="C44" t="s">
        <v>1052</v>
      </c>
      <c r="D44" s="2">
        <v>256</v>
      </c>
      <c r="E44" s="2">
        <v>4</v>
      </c>
      <c r="F44" s="3" t="str">
        <f>HYPERLINK("http://www.sah.co.rs/hy-p701a.html?___store=serbian"," Pogledajte proizvod na sajtu -&gt;")</f>
        <v> Pogledajte proizvod na sajtu -&gt;</v>
      </c>
    </row>
    <row r="45" spans="1:6" ht="12.75">
      <c r="A45" s="2">
        <v>44</v>
      </c>
      <c r="B45" t="s">
        <v>1056</v>
      </c>
      <c r="C45" t="s">
        <v>1052</v>
      </c>
      <c r="D45" s="2">
        <v>148</v>
      </c>
      <c r="E45" s="2">
        <v>3.5</v>
      </c>
      <c r="F45" s="3" t="str">
        <f>HYPERLINK("http://www.sah.co.rs/hy-r704b.html?___store=serbian"," Pogledajte proizvod na sajtu -&gt;")</f>
        <v> Pogledajte proizvod na sajtu -&gt;</v>
      </c>
    </row>
    <row r="46" spans="1:6" ht="12.75">
      <c r="A46" s="2">
        <v>45</v>
      </c>
      <c r="B46" t="s">
        <v>1057</v>
      </c>
      <c r="C46" t="s">
        <v>1052</v>
      </c>
      <c r="D46" s="2">
        <v>93</v>
      </c>
      <c r="E46" s="2">
        <v>5</v>
      </c>
      <c r="F46" s="3" t="str">
        <f>HYPERLINK("http://www.sah.co.rs/hy-pr708a.html?___store=serbian"," Pogledajte proizvod na sajtu -&gt;")</f>
        <v> Pogledajte proizvod na sajtu -&gt;</v>
      </c>
    </row>
    <row r="47" spans="1:6" ht="12.75">
      <c r="A47" s="2">
        <v>46</v>
      </c>
      <c r="B47" t="s">
        <v>1058</v>
      </c>
      <c r="C47" t="s">
        <v>1052</v>
      </c>
      <c r="D47" s="2">
        <v>442</v>
      </c>
      <c r="E47" s="2">
        <v>3.5</v>
      </c>
      <c r="F47" s="3" t="str">
        <f>HYPERLINK("http://www.sah.co.rs/hy-r704c.html?___store=serbian"," Pogledajte proizvod na sajtu -&gt;")</f>
        <v> Pogledajte proizvod na sajtu -&gt;</v>
      </c>
    </row>
    <row r="48" spans="1:6" ht="12.75">
      <c r="A48" s="2">
        <v>47</v>
      </c>
      <c r="B48" t="s">
        <v>1059</v>
      </c>
      <c r="C48" t="s">
        <v>1052</v>
      </c>
      <c r="D48" s="2">
        <v>121</v>
      </c>
      <c r="E48" s="2">
        <v>5</v>
      </c>
      <c r="F48" s="3" t="str">
        <f>HYPERLINK("http://www.sah.co.rs/hy-pr708b.html?___store=serbian"," Pogledajte proizvod na sajtu -&gt;")</f>
        <v> Pogledajte proizvod na sajtu -&gt;</v>
      </c>
    </row>
    <row r="49" spans="1:6" ht="12.75">
      <c r="A49" s="2">
        <v>48</v>
      </c>
      <c r="B49" t="s">
        <v>1060</v>
      </c>
      <c r="C49" t="s">
        <v>1052</v>
      </c>
      <c r="D49" s="2">
        <v>153</v>
      </c>
      <c r="E49" s="2">
        <v>4</v>
      </c>
      <c r="F49" s="3" t="str">
        <f>HYPERLINK("http://www.sah.co.rs/hy-r704-2w.html?___store=serbian"," Pogledajte proizvod na sajtu -&gt;")</f>
        <v> Pogledajte proizvod na sajtu -&gt;</v>
      </c>
    </row>
    <row r="50" spans="1:6" ht="12.75">
      <c r="A50" s="2">
        <v>49</v>
      </c>
      <c r="B50" t="s">
        <v>1061</v>
      </c>
      <c r="C50" t="s">
        <v>1062</v>
      </c>
      <c r="D50" s="2">
        <v>1107</v>
      </c>
      <c r="E50" s="2">
        <v>0.5</v>
      </c>
      <c r="F50" s="3" t="str">
        <f>HYPERLINK("http://www.sah.co.rs/v-152-1c25.html?___store=serbian"," Pogledajte proizvod na sajtu -&gt;")</f>
        <v> Pogledajte proizvod na sajtu -&gt;</v>
      </c>
    </row>
    <row r="51" spans="1:6" ht="12.75">
      <c r="A51" s="2">
        <v>50</v>
      </c>
      <c r="B51" t="s">
        <v>1063</v>
      </c>
      <c r="C51" t="s">
        <v>1062</v>
      </c>
      <c r="D51" s="2">
        <v>1110</v>
      </c>
      <c r="E51" s="2">
        <v>0.5</v>
      </c>
      <c r="F51" s="3" t="str">
        <f>HYPERLINK("http://www.sah.co.rs/v-153-1c25.html?___store=serbian"," Pogledajte proizvod na sajtu -&gt;")</f>
        <v> Pogledajte proizvod na sajtu -&gt;</v>
      </c>
    </row>
    <row r="52" spans="1:6" ht="12.75">
      <c r="A52" s="2">
        <v>51</v>
      </c>
      <c r="B52" t="s">
        <v>1064</v>
      </c>
      <c r="C52" t="s">
        <v>1062</v>
      </c>
      <c r="D52" s="2">
        <v>125</v>
      </c>
      <c r="E52" s="2">
        <v>0.5</v>
      </c>
      <c r="F52" s="3" t="str">
        <f>HYPERLINK("http://www.sah.co.rs/v-156-1c25.html?___store=serbian"," Pogledajte proizvod na sajtu -&gt;")</f>
        <v> Pogledajte proizvod na sajtu -&gt;</v>
      </c>
    </row>
    <row r="53" spans="1:6" ht="12.75">
      <c r="A53" s="2">
        <v>52</v>
      </c>
      <c r="B53" t="s">
        <v>1065</v>
      </c>
      <c r="C53" t="s">
        <v>1062</v>
      </c>
      <c r="D53" s="2">
        <v>456</v>
      </c>
      <c r="E53" s="2">
        <v>0.5</v>
      </c>
      <c r="F53" s="3" t="str">
        <f>HYPERLINK("http://www.sah.co.rs/v-154-1c25.html?___store=serbian"," Pogledajte proizvod na sajtu -&gt;")</f>
        <v> Pogledajte proizvod na sajtu -&gt;</v>
      </c>
    </row>
    <row r="54" spans="1:6" ht="12.75">
      <c r="A54" s="2">
        <v>53</v>
      </c>
      <c r="B54" t="s">
        <v>1066</v>
      </c>
      <c r="C54" t="s">
        <v>1062</v>
      </c>
      <c r="D54" s="2">
        <v>560</v>
      </c>
      <c r="E54" s="2">
        <v>0.5</v>
      </c>
      <c r="F54" s="3" t="str">
        <f>HYPERLINK("http://www.sah.co.rs/v-15-1c25.html?___store=serbian"," Pogledajte proizvod na sajtu -&gt;")</f>
        <v> Pogledajte proizvod na sajtu -&gt;</v>
      </c>
    </row>
    <row r="55" spans="1:6" ht="12.75">
      <c r="A55" s="2">
        <v>54</v>
      </c>
      <c r="B55" t="s">
        <v>1067</v>
      </c>
      <c r="C55" t="s">
        <v>1062</v>
      </c>
      <c r="D55" s="2">
        <v>1209</v>
      </c>
      <c r="E55" s="2">
        <v>0.5</v>
      </c>
      <c r="F55" s="3" t="str">
        <f>HYPERLINK("http://www.sah.co.rs/v-155-1c25.html?___store=serbian"," Pogledajte proizvod na sajtu -&gt;")</f>
        <v> Pogledajte proizvod na sajtu -&gt;</v>
      </c>
    </row>
    <row r="56" spans="1:6" ht="12.75">
      <c r="A56" s="2">
        <v>55</v>
      </c>
      <c r="B56" t="s">
        <v>1068</v>
      </c>
      <c r="C56" t="s">
        <v>1062</v>
      </c>
      <c r="D56" s="2">
        <v>242</v>
      </c>
      <c r="E56" s="2">
        <v>0.4</v>
      </c>
      <c r="F56" s="3" t="str">
        <f>HYPERLINK("http://www.sah.co.rs/yl23-02.html?___store=serbian"," Pogledajte proizvod na sajtu -&gt;")</f>
        <v> Pogledajte proizvod na sajtu -&gt;</v>
      </c>
    </row>
    <row r="57" spans="1:6" ht="12.75">
      <c r="A57" s="2">
        <v>56</v>
      </c>
      <c r="B57" t="s">
        <v>1069</v>
      </c>
      <c r="C57" t="s">
        <v>1062</v>
      </c>
      <c r="D57" s="2">
        <v>441</v>
      </c>
      <c r="E57" s="2">
        <v>0.5</v>
      </c>
      <c r="F57" s="3" t="str">
        <f>HYPERLINK("http://www.sah.co.rs/v-151-1c25.html?___store=serbian"," Pogledajte proizvod na sajtu -&gt;")</f>
        <v> Pogledajte proizvod na sajtu -&gt;</v>
      </c>
    </row>
    <row r="58" spans="1:6" ht="12.75">
      <c r="A58" s="2">
        <v>57</v>
      </c>
      <c r="B58" t="s">
        <v>1070</v>
      </c>
      <c r="C58" t="s">
        <v>1071</v>
      </c>
      <c r="D58" s="2">
        <v>4</v>
      </c>
      <c r="E58" s="2">
        <v>0.5</v>
      </c>
      <c r="F58" s="3" t="str">
        <f>HYPERLINK("http://www.sah.co.rs/kw11-7-1.html?___store=serbian"," Pogledajte proizvod na sajtu -&gt;")</f>
        <v> Pogledajte proizvod na sajtu -&gt;</v>
      </c>
    </row>
    <row r="59" spans="1:6" ht="12.75">
      <c r="A59" s="2">
        <v>58</v>
      </c>
      <c r="B59" t="s">
        <v>1072</v>
      </c>
      <c r="C59" t="s">
        <v>1073</v>
      </c>
      <c r="D59" s="2">
        <v>50</v>
      </c>
      <c r="E59" s="2">
        <v>2.5</v>
      </c>
      <c r="F59" s="3" t="str">
        <f>HYPERLINK("http://www.sah.co.rs/d4mc-1000.html?___store=serbian"," Pogledajte proizvod na sajtu -&gt;")</f>
        <v> Pogledajte proizvod na sajtu -&gt;</v>
      </c>
    </row>
    <row r="60" spans="1:6" ht="12.75">
      <c r="A60" s="2">
        <v>59</v>
      </c>
      <c r="B60" t="s">
        <v>1074</v>
      </c>
      <c r="C60" t="s">
        <v>1073</v>
      </c>
      <c r="D60" s="2">
        <v>120</v>
      </c>
      <c r="E60" s="2">
        <v>2.5</v>
      </c>
      <c r="F60" s="3" t="str">
        <f>HYPERLINK("http://www.sah.co.rs/d4mc-2000.html?___store=serbian","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0.28125" style="0" customWidth="1"/>
    <col min="3" max="3" width="34.4218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104</v>
      </c>
      <c r="C2" t="s">
        <v>105</v>
      </c>
      <c r="D2" s="2">
        <v>0</v>
      </c>
      <c r="E2" s="2">
        <v>2</v>
      </c>
      <c r="F2" s="3" t="str">
        <f>HYPERLINK("http://www.sah.co.rs/gb7-10a.html?___store=serbian"," Pogledajte proizvod na sajtu -&gt;")</f>
        <v> Pogledajte proizvod na sajtu -&gt;</v>
      </c>
    </row>
    <row r="3" spans="1:6" ht="12.75">
      <c r="A3" s="2">
        <v>2</v>
      </c>
      <c r="B3" t="s">
        <v>106</v>
      </c>
      <c r="C3" t="s">
        <v>107</v>
      </c>
      <c r="D3" s="2">
        <v>0</v>
      </c>
      <c r="E3" s="2">
        <v>2</v>
      </c>
      <c r="F3" s="3" t="str">
        <f>HYPERLINK("http://www.sah.co.rs/gb7-16a.html?___store=serbian"," Pogledajte proizvod na sajtu -&gt;")</f>
        <v> Pogledajte proizvod na sajtu -&gt;</v>
      </c>
    </row>
    <row r="4" spans="1:6" ht="12.75">
      <c r="A4" s="2">
        <v>3</v>
      </c>
      <c r="B4" t="s">
        <v>108</v>
      </c>
      <c r="C4" t="s">
        <v>109</v>
      </c>
      <c r="D4" s="2">
        <v>0</v>
      </c>
      <c r="E4" s="2">
        <v>3.6</v>
      </c>
      <c r="F4" s="3" t="str">
        <f>HYPERLINK("http://www.sah.co.rs/srm7-16a.html?___store=serbian"," Pogledajte proizvod na sajtu -&gt;")</f>
        <v> Pogledajte proizvod na sajtu -&gt;</v>
      </c>
    </row>
    <row r="5" spans="1:6" ht="12.75">
      <c r="A5" s="2">
        <v>4</v>
      </c>
      <c r="B5" t="s">
        <v>110</v>
      </c>
      <c r="C5" t="s">
        <v>111</v>
      </c>
      <c r="D5" s="2">
        <v>45</v>
      </c>
      <c r="E5" s="2">
        <v>2.2</v>
      </c>
      <c r="F5" s="3" t="str">
        <f>HYPERLINK("http://www.sah.co.rs/gb7-1a.html?___store=serbian"," Pogledajte proizvod na sajtu -&gt;")</f>
        <v> Pogledajte proizvod na sajtu -&gt;</v>
      </c>
    </row>
    <row r="6" spans="1:6" ht="12.75">
      <c r="A6" s="2">
        <v>5</v>
      </c>
      <c r="B6" t="s">
        <v>112</v>
      </c>
      <c r="C6" t="s">
        <v>113</v>
      </c>
      <c r="D6" s="2">
        <v>35</v>
      </c>
      <c r="E6" s="2">
        <v>2</v>
      </c>
      <c r="F6" s="3" t="str">
        <f>HYPERLINK("http://www.sah.co.rs/gb7-20a.html?___store=serbian"," Pogledajte proizvod na sajtu -&gt;")</f>
        <v> Pogledajte proizvod na sajtu -&gt;</v>
      </c>
    </row>
    <row r="7" spans="1:6" ht="12.75">
      <c r="A7" s="2">
        <v>6</v>
      </c>
      <c r="B7" t="s">
        <v>114</v>
      </c>
      <c r="C7" t="s">
        <v>115</v>
      </c>
      <c r="D7" s="2">
        <v>13</v>
      </c>
      <c r="E7" s="2">
        <v>3.6</v>
      </c>
      <c r="F7" s="3" t="str">
        <f>HYPERLINK("http://www.sah.co.rs/srm7-20a.html?___store=serbian"," Pogledajte proizvod na sajtu -&gt;")</f>
        <v> Pogledajte proizvod na sajtu -&gt;</v>
      </c>
    </row>
    <row r="8" spans="1:6" ht="12.75">
      <c r="A8" s="2">
        <v>7</v>
      </c>
      <c r="B8" t="s">
        <v>116</v>
      </c>
      <c r="C8" t="s">
        <v>117</v>
      </c>
      <c r="D8" s="2">
        <v>121</v>
      </c>
      <c r="E8" s="2">
        <v>2</v>
      </c>
      <c r="F8" s="3" t="str">
        <f>HYPERLINK("http://www.sah.co.rs/gb7-25a.html?___store=serbian"," Pogledajte proizvod na sajtu -&gt;")</f>
        <v> Pogledajte proizvod na sajtu -&gt;</v>
      </c>
    </row>
    <row r="9" spans="1:6" ht="12.75">
      <c r="A9" s="2">
        <v>8</v>
      </c>
      <c r="B9" t="s">
        <v>118</v>
      </c>
      <c r="C9" t="s">
        <v>119</v>
      </c>
      <c r="D9" s="2">
        <v>0</v>
      </c>
      <c r="E9" s="2">
        <v>3.6</v>
      </c>
      <c r="F9" s="3" t="str">
        <f>HYPERLINK("http://www.sah.co.rs/srm7-25a.html?___store=serbian"," Pogledajte proizvod na sajtu -&gt;")</f>
        <v> Pogledajte proizvod na sajtu -&gt;</v>
      </c>
    </row>
    <row r="10" spans="1:6" ht="12.75">
      <c r="A10" s="2">
        <v>9</v>
      </c>
      <c r="B10" t="s">
        <v>120</v>
      </c>
      <c r="C10" t="s">
        <v>121</v>
      </c>
      <c r="D10" s="2">
        <v>21</v>
      </c>
      <c r="E10" s="2">
        <v>1.2</v>
      </c>
      <c r="F10" s="3" t="str">
        <f aca="true" t="shared" si="0" ref="F10:F11">HYPERLINK("http://www.sah.co.rs/srm7-32a.html?___store=serbian"," Pogledajte proizvod na sajtu -&gt;")</f>
        <v> Pogledajte proizvod na sajtu -&gt;</v>
      </c>
    </row>
    <row r="11" spans="1:6" ht="12.75">
      <c r="A11" s="2">
        <v>10</v>
      </c>
      <c r="B11" t="s">
        <v>120</v>
      </c>
      <c r="C11" t="s">
        <v>122</v>
      </c>
      <c r="D11" s="2">
        <v>0</v>
      </c>
      <c r="E11" s="2">
        <v>3.6</v>
      </c>
      <c r="F11" s="3" t="str">
        <f t="shared" si="0"/>
        <v> Pogledajte proizvod na sajtu -&gt;</v>
      </c>
    </row>
    <row r="12" spans="1:6" ht="12.75">
      <c r="A12" s="2">
        <v>11</v>
      </c>
      <c r="B12" t="s">
        <v>123</v>
      </c>
      <c r="C12" t="s">
        <v>124</v>
      </c>
      <c r="D12" s="2">
        <v>1</v>
      </c>
      <c r="E12" s="2">
        <v>2.2</v>
      </c>
      <c r="F12" s="3" t="str">
        <f>HYPERLINK("http://www.sah.co.rs/gb7-3a.html?___store=serbian"," Pogledajte proizvod na sajtu -&gt;")</f>
        <v> Pogledajte proizvod na sajtu -&gt;</v>
      </c>
    </row>
    <row r="13" spans="1:6" ht="12.75">
      <c r="A13" s="2">
        <v>12</v>
      </c>
      <c r="B13" t="s">
        <v>125</v>
      </c>
      <c r="C13" t="s">
        <v>126</v>
      </c>
      <c r="D13" s="2">
        <v>40</v>
      </c>
      <c r="E13" s="2">
        <v>1.2</v>
      </c>
      <c r="F13" s="3" t="str">
        <f aca="true" t="shared" si="1" ref="F13:F14">HYPERLINK("http://www.sah.co.rs/srm7-40a.html?___store=serbian"," Pogledajte proizvod na sajtu -&gt;")</f>
        <v> Pogledajte proizvod na sajtu -&gt;</v>
      </c>
    </row>
    <row r="14" spans="1:6" ht="12.75">
      <c r="A14" s="2">
        <v>13</v>
      </c>
      <c r="B14" t="s">
        <v>125</v>
      </c>
      <c r="C14" t="s">
        <v>127</v>
      </c>
      <c r="D14" s="2">
        <v>12</v>
      </c>
      <c r="E14" s="2">
        <v>3.6</v>
      </c>
      <c r="F14" s="3" t="str">
        <f t="shared" si="1"/>
        <v> Pogledajte proizvod na sajtu -&gt;</v>
      </c>
    </row>
    <row r="15" spans="1:6" ht="12.75">
      <c r="A15" s="2">
        <v>14</v>
      </c>
      <c r="B15" t="s">
        <v>128</v>
      </c>
      <c r="C15" t="s">
        <v>129</v>
      </c>
      <c r="D15" s="2">
        <v>0</v>
      </c>
      <c r="E15" s="2">
        <v>1.3</v>
      </c>
      <c r="F15" s="3" t="str">
        <f>HYPERLINK("http://www.sah.co.rs/srm7-4a.html?___store=serbian"," Pogledajte proizvod na sajtu -&gt;")</f>
        <v> Pogledajte proizvod na sajtu -&gt;</v>
      </c>
    </row>
    <row r="16" spans="1:6" ht="12.75">
      <c r="A16" s="2">
        <v>15</v>
      </c>
      <c r="B16" t="s">
        <v>130</v>
      </c>
      <c r="C16" t="s">
        <v>131</v>
      </c>
      <c r="D16" s="2">
        <v>27</v>
      </c>
      <c r="E16" s="2">
        <v>2</v>
      </c>
      <c r="F16" s="3" t="str">
        <f>HYPERLINK("http://www.sah.co.rs/gb7-6a.html?___store=serbian","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20.57421875" style="0" customWidth="1"/>
    <col min="3" max="3" width="73.1406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1075</v>
      </c>
      <c r="C2" t="s">
        <v>1076</v>
      </c>
      <c r="D2" s="2">
        <v>99</v>
      </c>
      <c r="E2" s="2">
        <v>14</v>
      </c>
      <c r="F2" s="3" t="str">
        <f>HYPERLINK("http://www.sah.co.rs/badge-led-display-white.html?___store=serbian"," Pogledajte proizvod na sajtu -&gt;")</f>
        <v> Pogledajte proizvod na sajtu -&gt;</v>
      </c>
    </row>
    <row r="3" spans="1:6" ht="12.75">
      <c r="A3" s="2">
        <v>2</v>
      </c>
      <c r="B3" t="s">
        <v>1077</v>
      </c>
      <c r="C3" t="s">
        <v>1078</v>
      </c>
      <c r="D3" s="2">
        <v>138</v>
      </c>
      <c r="E3" s="2">
        <v>11</v>
      </c>
      <c r="F3" s="3" t="str">
        <f>HYPERLINK("http://www.sah.co.rs/badge-led-display-red.html?___store=serbian"," Pogledajte proizvod na sajtu -&gt;")</f>
        <v> Pogledajte proizvod na sajtu -&gt;</v>
      </c>
    </row>
    <row r="4" spans="1:6" ht="12.75">
      <c r="A4" s="2">
        <v>3</v>
      </c>
      <c r="B4" t="s">
        <v>1079</v>
      </c>
      <c r="C4" t="s">
        <v>1080</v>
      </c>
      <c r="D4" s="2">
        <v>47</v>
      </c>
      <c r="E4" s="2">
        <v>12</v>
      </c>
      <c r="F4" s="3" t="str">
        <f>HYPERLINK("http://www.sah.co.rs/badge-led-display-blue.html?___store=serbian"," Pogledajte proizvod na sajtu -&gt;")</f>
        <v> Pogledajte proizvod na sajtu -&gt;</v>
      </c>
    </row>
    <row r="5" spans="1:6" ht="12.75">
      <c r="A5" s="2">
        <v>4</v>
      </c>
      <c r="B5" t="s">
        <v>1081</v>
      </c>
      <c r="C5" t="s">
        <v>1082</v>
      </c>
      <c r="D5" s="2">
        <v>101</v>
      </c>
      <c r="E5" s="2">
        <v>13</v>
      </c>
      <c r="F5" s="3" t="str">
        <f>HYPERLINK("http://www.sah.co.rs/badge-led-display-green.html?___store=serbian"," Pogledajte proizvod na sajtu -&gt;")</f>
        <v> Pogledajte proizvod na sajtu -&gt;</v>
      </c>
    </row>
    <row r="6" spans="1:6" ht="12.75">
      <c r="A6" s="2">
        <v>5</v>
      </c>
      <c r="B6" t="s">
        <v>1083</v>
      </c>
      <c r="C6" t="s">
        <v>1084</v>
      </c>
      <c r="D6" s="2">
        <v>55</v>
      </c>
      <c r="E6" s="2">
        <v>15</v>
      </c>
      <c r="F6" s="3" t="str">
        <f>HYPERLINK("http://www.sah.co.rs/badge-led-display-yellow.html?___store=serbian","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9.8515625" style="0" customWidth="1"/>
    <col min="3" max="3" width="41.003906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1085</v>
      </c>
      <c r="C2" t="s">
        <v>1086</v>
      </c>
      <c r="D2" s="2">
        <v>18</v>
      </c>
      <c r="E2" s="2">
        <v>1</v>
      </c>
      <c r="F2" s="3" t="str">
        <f>HYPERLINK("http://www.sah.co.rs/neo-12x3.html?___store=serbian","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6.421875" style="0" customWidth="1"/>
    <col min="3" max="3" width="57.85156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1087</v>
      </c>
      <c r="C2" t="s">
        <v>1088</v>
      </c>
      <c r="D2" s="2">
        <v>64</v>
      </c>
      <c r="E2" s="2">
        <v>7</v>
      </c>
      <c r="F2" s="3" t="str">
        <f>HYPERLINK("http://www.sah.co.rs/d67-f.html?___store=serbian","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25.7109375" style="0" customWidth="1"/>
    <col min="3" max="3" width="80.4218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1089</v>
      </c>
      <c r="C2" t="s">
        <v>1090</v>
      </c>
      <c r="D2" s="2">
        <v>9</v>
      </c>
      <c r="E2" s="2">
        <v>160</v>
      </c>
      <c r="F2" s="3" t="str">
        <f>HYPERLINK("http://www.sah.co.rs/ga8-0a.html?___store=serbian"," Pogledajte proizvod na sajtu -&gt;")</f>
        <v> Pogledajte proizvod na sajtu -&gt;</v>
      </c>
    </row>
    <row r="3" spans="1:6" ht="12.75">
      <c r="A3" s="2">
        <v>2</v>
      </c>
      <c r="B3" t="s">
        <v>1091</v>
      </c>
      <c r="C3" t="s">
        <v>1092</v>
      </c>
      <c r="D3" s="2">
        <v>0</v>
      </c>
      <c r="E3" s="2">
        <v>4</v>
      </c>
      <c r="F3" s="3" t="str">
        <f>HYPERLINK("http://www.sah.co.rs/ks-2.html?___store=serbian"," Pogledajte proizvod na sajtu -&gt;")</f>
        <v> Pogledajte proizvod na sajtu -&gt;</v>
      </c>
    </row>
    <row r="4" spans="1:6" ht="12.75">
      <c r="A4" s="2">
        <v>3</v>
      </c>
      <c r="B4" t="s">
        <v>1093</v>
      </c>
      <c r="C4" t="s">
        <v>1094</v>
      </c>
      <c r="D4" s="2">
        <v>496</v>
      </c>
      <c r="E4" s="2">
        <v>1.5</v>
      </c>
      <c r="F4" s="3" t="str">
        <f>HYPERLINK("http://www.sah.co.rs/ks-6.html?___store=serbian"," Pogledajte proizvod na sajtu -&gt;")</f>
        <v> Pogledajte proizvod na sajtu -&gt;</v>
      </c>
    </row>
    <row r="5" spans="1:6" ht="12.75">
      <c r="A5" s="2">
        <v>4</v>
      </c>
      <c r="B5" t="s">
        <v>1095</v>
      </c>
      <c r="C5" t="s">
        <v>1096</v>
      </c>
      <c r="D5" s="2">
        <v>14</v>
      </c>
      <c r="E5" s="2">
        <v>70</v>
      </c>
      <c r="F5" s="3" t="str">
        <f>HYPERLINK("http://www.sah.co.rs/tk100.html?___store=serbian"," Pogledajte proizvod na sajtu -&gt;")</f>
        <v> Pogledajte proizvod na sajtu -&gt;</v>
      </c>
    </row>
    <row r="6" spans="1:6" ht="12.75">
      <c r="A6" s="2">
        <v>5</v>
      </c>
      <c r="B6" t="s">
        <v>1097</v>
      </c>
      <c r="C6" t="s">
        <v>1098</v>
      </c>
      <c r="D6" s="2">
        <v>2</v>
      </c>
      <c r="E6" s="2">
        <v>90</v>
      </c>
      <c r="F6" s="3" t="str">
        <f>HYPERLINK("http://www.sah.co.rs/tk100w.html?___store=serbian"," Pogledajte proizvod na sajtu -&gt;")</f>
        <v> Pogledajte proizvod na sajtu -&gt;</v>
      </c>
    </row>
    <row r="7" spans="1:6" ht="12.75">
      <c r="A7" s="2">
        <v>6</v>
      </c>
      <c r="B7" t="s">
        <v>1099</v>
      </c>
      <c r="C7" t="s">
        <v>1100</v>
      </c>
      <c r="D7" s="2">
        <v>83</v>
      </c>
      <c r="E7" s="2">
        <v>35</v>
      </c>
      <c r="F7" s="3" t="str">
        <f>HYPERLINK("http://www.sah.co.rs/va21.html?___store=serbian"," Pogledajte proizvod na sajtu -&gt;")</f>
        <v> Pogledajte proizvod na sajtu -&gt;</v>
      </c>
    </row>
    <row r="8" spans="1:6" ht="12.75">
      <c r="A8" s="2">
        <v>7</v>
      </c>
      <c r="B8" t="s">
        <v>1101</v>
      </c>
      <c r="C8" t="s">
        <v>1102</v>
      </c>
      <c r="D8" s="2">
        <v>104</v>
      </c>
      <c r="E8" s="2">
        <v>10</v>
      </c>
      <c r="F8" s="3" t="str">
        <f>HYPERLINK("http://www.sah.co.rs/htc-1.html?___store=serbian"," Pogledajte proizvod na sajtu -&gt;")</f>
        <v> Pogledajte proizvod na sajtu -&gt;</v>
      </c>
    </row>
    <row r="9" spans="1:6" ht="12.75">
      <c r="A9" s="2">
        <v>8</v>
      </c>
      <c r="B9" t="s">
        <v>1103</v>
      </c>
      <c r="C9" t="s">
        <v>1104</v>
      </c>
      <c r="D9" s="2">
        <v>2</v>
      </c>
      <c r="E9" s="2">
        <v>60</v>
      </c>
      <c r="F9" s="3" t="str">
        <f>HYPERLINK("http://www.sah.co.rs/ht-350.html?___store=serbian"," Pogledajte proizvod na sajtu -&gt;")</f>
        <v> Pogledajte proizvod na sajtu -&gt;</v>
      </c>
    </row>
    <row r="10" spans="1:6" ht="12.75">
      <c r="A10" s="2">
        <v>9</v>
      </c>
      <c r="B10" t="s">
        <v>1105</v>
      </c>
      <c r="C10" t="s">
        <v>1106</v>
      </c>
      <c r="D10" s="2">
        <v>164</v>
      </c>
      <c r="E10" s="2">
        <v>20</v>
      </c>
      <c r="F10" s="3" t="str">
        <f>HYPERLINK("http://www.sah.co.rs/dth-22.html?___store=serbian"," Pogledajte proizvod na sajtu -&gt;")</f>
        <v> Pogledajte proizvod na sajtu -&gt;</v>
      </c>
    </row>
    <row r="11" spans="1:6" ht="12.75">
      <c r="A11" s="2">
        <v>10</v>
      </c>
      <c r="B11" t="s">
        <v>1107</v>
      </c>
      <c r="C11" t="s">
        <v>1108</v>
      </c>
      <c r="D11" s="2">
        <v>5</v>
      </c>
      <c r="E11" s="2">
        <v>12</v>
      </c>
      <c r="F11" s="3" t="str">
        <f>HYPERLINK("http://www.sah.co.rs/hc520.html?___store=serbian"," Pogledajte proizvod na sajtu -&gt;")</f>
        <v> Pogledajte proizvod na sajtu -&gt;</v>
      </c>
    </row>
    <row r="12" spans="1:6" ht="12.75">
      <c r="A12" s="2">
        <v>11</v>
      </c>
      <c r="B12" t="s">
        <v>1109</v>
      </c>
      <c r="C12" t="s">
        <v>1108</v>
      </c>
      <c r="D12" s="2">
        <v>80</v>
      </c>
      <c r="E12" s="2">
        <v>11</v>
      </c>
      <c r="F12" s="3" t="str">
        <f>HYPERLINK("http://www.sah.co.rs/kt908.html?___store=serbian"," Pogledajte proizvod na sajtu -&gt;")</f>
        <v> Pogledajte proizvod na sajtu -&gt;</v>
      </c>
    </row>
    <row r="13" spans="1:6" ht="12.75">
      <c r="A13" s="2">
        <v>12</v>
      </c>
      <c r="B13" t="s">
        <v>1110</v>
      </c>
      <c r="C13" t="s">
        <v>1108</v>
      </c>
      <c r="D13" s="2">
        <v>150</v>
      </c>
      <c r="E13" s="2">
        <v>12</v>
      </c>
      <c r="F13" s="3" t="str">
        <f>HYPERLINK("http://www.sah.co.rs/dth-12.html?___store=serbian"," Pogledajte proizvod na sajtu -&gt;")</f>
        <v> Pogledajte proizvod na sajtu -&gt;</v>
      </c>
    </row>
    <row r="14" spans="1:6" ht="12.75">
      <c r="A14" s="2">
        <v>13</v>
      </c>
      <c r="B14" t="s">
        <v>1111</v>
      </c>
      <c r="C14" t="s">
        <v>1112</v>
      </c>
      <c r="D14" s="2">
        <v>54</v>
      </c>
      <c r="E14" s="2">
        <v>10</v>
      </c>
      <c r="F14" s="3" t="str">
        <f>HYPERLINK("http://www.sah.co.rs/kt906.html?___store=serbian"," Pogledajte proizvod na sajtu -&gt;")</f>
        <v> Pogledajte proizvod na sajtu -&gt;</v>
      </c>
    </row>
    <row r="15" spans="1:6" ht="12.75">
      <c r="A15" s="2">
        <v>14</v>
      </c>
      <c r="B15" t="s">
        <v>1113</v>
      </c>
      <c r="C15" t="s">
        <v>1114</v>
      </c>
      <c r="D15" s="2">
        <v>72</v>
      </c>
      <c r="E15" s="2">
        <v>8</v>
      </c>
      <c r="F15" s="3" t="str">
        <f>HYPERLINK("http://www.sah.co.rs/tl8048.html?___store=serbian"," Pogledajte proizvod na sajtu -&gt;")</f>
        <v> Pogledajte proizvod na sajtu -&gt;</v>
      </c>
    </row>
    <row r="16" spans="1:6" ht="12.75">
      <c r="A16" s="2">
        <v>15</v>
      </c>
      <c r="B16" t="s">
        <v>1115</v>
      </c>
      <c r="C16" t="s">
        <v>1114</v>
      </c>
      <c r="D16" s="2">
        <v>178</v>
      </c>
      <c r="E16" s="2">
        <v>8</v>
      </c>
      <c r="F16" s="3" t="str">
        <f>HYPERLINK("http://www.sah.co.rs/tl8015a.html?___store=serbian"," Pogledajte proizvod na sajtu -&gt;")</f>
        <v> Pogledajte proizvod na sajtu -&gt;</v>
      </c>
    </row>
    <row r="17" spans="1:6" ht="12.75">
      <c r="A17" s="2">
        <v>16</v>
      </c>
      <c r="B17" t="s">
        <v>1116</v>
      </c>
      <c r="C17" t="s">
        <v>1117</v>
      </c>
      <c r="D17" s="2">
        <v>123</v>
      </c>
      <c r="E17" s="2">
        <v>8</v>
      </c>
      <c r="F17" s="3" t="str">
        <f>HYPERLINK("http://www.sah.co.rs/dt55-1.html?___store=serbian"," Pogledajte proizvod na sajtu -&gt;")</f>
        <v> Pogledajte proizvod na sajtu -&gt;</v>
      </c>
    </row>
    <row r="18" spans="1:6" ht="12.75">
      <c r="A18" s="2">
        <v>17</v>
      </c>
      <c r="B18" t="s">
        <v>1118</v>
      </c>
      <c r="C18" t="s">
        <v>1119</v>
      </c>
      <c r="D18" s="2">
        <v>9</v>
      </c>
      <c r="E18" s="2">
        <v>8</v>
      </c>
      <c r="F18" s="3" t="str">
        <f>HYPERLINK("http://www.sah.co.rs/tl8021b.html?___store=serbian"," Pogledajte proizvod na sajtu -&gt;")</f>
        <v> Pogledajte proizvod na sajtu -&gt;</v>
      </c>
    </row>
    <row r="19" spans="1:6" ht="12.75">
      <c r="A19" s="2">
        <v>18</v>
      </c>
      <c r="B19" t="s">
        <v>1120</v>
      </c>
      <c r="C19" t="s">
        <v>1119</v>
      </c>
      <c r="D19" s="2">
        <v>281</v>
      </c>
      <c r="E19" s="2">
        <v>10</v>
      </c>
      <c r="F19" s="3" t="str">
        <f>HYPERLINK("http://www.sah.co.rs/tp101.html?___store=serbian"," Pogledajte proizvod na sajtu -&gt;")</f>
        <v> Pogledajte proizvod na sajtu -&gt;</v>
      </c>
    </row>
    <row r="20" spans="1:6" ht="12.75">
      <c r="A20" s="2">
        <v>19</v>
      </c>
      <c r="B20" t="s">
        <v>1121</v>
      </c>
      <c r="C20" t="s">
        <v>1119</v>
      </c>
      <c r="D20" s="2">
        <v>0</v>
      </c>
      <c r="E20" s="2">
        <v>11</v>
      </c>
      <c r="F20" s="3" t="str">
        <f>HYPERLINK("http://www.sah.co.rs/ta238.html?___store=serbian"," Pogledajte proizvod na sajtu -&gt;")</f>
        <v> Pogledajte proizvod na sajtu -&gt;</v>
      </c>
    </row>
    <row r="21" spans="1:6" ht="12.75">
      <c r="A21" s="2">
        <v>20</v>
      </c>
      <c r="B21" t="s">
        <v>1122</v>
      </c>
      <c r="C21" t="s">
        <v>1123</v>
      </c>
      <c r="D21" s="2">
        <v>551</v>
      </c>
      <c r="E21" s="2">
        <v>4.5</v>
      </c>
      <c r="F21" s="3" t="str">
        <f>HYPERLINK("http://www.sah.co.rs/sp-e-21.html?___store=serbian"," Pogledajte proizvod na sajtu -&gt;")</f>
        <v> Pogledajte proizvod na sajtu -&gt;</v>
      </c>
    </row>
    <row r="22" spans="1:6" ht="12.75">
      <c r="A22" s="2">
        <v>21</v>
      </c>
      <c r="B22" t="s">
        <v>1124</v>
      </c>
      <c r="C22" t="s">
        <v>1125</v>
      </c>
      <c r="D22" s="2">
        <v>247</v>
      </c>
      <c r="E22" s="2">
        <v>15</v>
      </c>
      <c r="F22" s="3" t="str">
        <f>HYPERLINK("http://www.sah.co.rs/tbt-10h.html?___store=serbian"," Pogledajte proizvod na sajtu -&gt;")</f>
        <v> Pogledajte proizvod na sajtu -&gt;</v>
      </c>
    </row>
    <row r="23" spans="1:6" ht="12.75">
      <c r="A23" s="2">
        <v>22</v>
      </c>
      <c r="B23" t="s">
        <v>1126</v>
      </c>
      <c r="C23" t="s">
        <v>1127</v>
      </c>
      <c r="D23" s="2">
        <v>344</v>
      </c>
      <c r="E23" s="2">
        <v>4.5</v>
      </c>
      <c r="F23" s="3" t="str">
        <f>HYPERLINK("http://www.sah.co.rs/tl-8002.html?___store=serbian"," Pogledajte proizvod na sajtu -&gt;")</f>
        <v> Pogledajte proizvod na sajtu -&gt;</v>
      </c>
    </row>
    <row r="24" spans="1:6" ht="12.75">
      <c r="A24" s="2">
        <v>23</v>
      </c>
      <c r="B24" t="s">
        <v>1128</v>
      </c>
      <c r="C24" t="s">
        <v>1129</v>
      </c>
      <c r="D24" s="2">
        <v>12</v>
      </c>
      <c r="E24" s="2">
        <v>110</v>
      </c>
      <c r="F24" s="3" t="str">
        <f>HYPERLINK("http://www.sah.co.rs/dt-8011h.html?___store=serbian"," Pogledajte proizvod na sajtu -&gt;")</f>
        <v> Pogledajte proizvod na sajtu -&gt;</v>
      </c>
    </row>
    <row r="25" spans="1:6" ht="12.75">
      <c r="A25" s="2">
        <v>24</v>
      </c>
      <c r="B25" t="s">
        <v>1130</v>
      </c>
      <c r="C25" t="s">
        <v>1131</v>
      </c>
      <c r="D25" s="2">
        <v>10</v>
      </c>
      <c r="E25" s="2">
        <v>270</v>
      </c>
      <c r="F25" s="3" t="str">
        <f>HYPERLINK("http://www.sah.co.rs/ht-6889.html?___store=serbian"," Pogledajte proizvod na sajtu -&gt;")</f>
        <v> Pogledajte proizvod na sajtu -&gt;</v>
      </c>
    </row>
    <row r="26" spans="1:6" ht="12.75">
      <c r="A26" s="2">
        <v>25</v>
      </c>
      <c r="B26" t="s">
        <v>1132</v>
      </c>
      <c r="C26" t="s">
        <v>1133</v>
      </c>
      <c r="D26" s="2">
        <v>17</v>
      </c>
      <c r="E26" s="2">
        <v>15</v>
      </c>
      <c r="F26" s="3" t="str">
        <f>HYPERLINK("http://www.sah.co.rs/dt8220.html?___store=serbian"," Pogledajte proizvod na sajtu -&gt;")</f>
        <v> Pogledajte proizvod na sajtu -&gt;</v>
      </c>
    </row>
    <row r="27" spans="1:6" ht="12.75">
      <c r="A27" s="2">
        <v>26</v>
      </c>
      <c r="B27" t="s">
        <v>1134</v>
      </c>
      <c r="C27" t="s">
        <v>1135</v>
      </c>
      <c r="D27" s="2">
        <v>79</v>
      </c>
      <c r="E27" s="2">
        <v>40</v>
      </c>
      <c r="F27" s="3" t="str">
        <f>HYPERLINK("http://www.sah.co.rs/dt-8580.html?___store=serbian"," Pogledajte proizvod na sajtu -&gt;")</f>
        <v> Pogledajte proizvod na sajtu -&gt;</v>
      </c>
    </row>
    <row r="28" spans="1:6" ht="12.75">
      <c r="A28" s="2">
        <v>27</v>
      </c>
      <c r="B28" t="s">
        <v>1136</v>
      </c>
      <c r="C28" t="s">
        <v>1137</v>
      </c>
      <c r="D28" s="2">
        <v>14</v>
      </c>
      <c r="E28" s="2">
        <v>150</v>
      </c>
      <c r="F28" s="3" t="str">
        <f>HYPERLINK("http://www.sah.co.rs/dt-8600b.html?___store=serbian"," Pogledajte proizvod na sajtu -&gt;")</f>
        <v> Pogledajte proizvod na sajtu -&gt;</v>
      </c>
    </row>
    <row r="29" spans="1:6" ht="12.75">
      <c r="A29" s="2">
        <v>28</v>
      </c>
      <c r="B29" t="s">
        <v>1138</v>
      </c>
      <c r="C29" t="s">
        <v>1139</v>
      </c>
      <c r="D29" s="2">
        <v>191</v>
      </c>
      <c r="E29" s="2">
        <v>4</v>
      </c>
      <c r="F29" s="3" t="str">
        <f>HYPERLINK("http://www.sah.co.rs/test-lead-probe-cables.html?___store=serbian"," Pogledajte proizvod na sajtu -&gt;")</f>
        <v> Pogledajte proizvod na sajtu -&gt;</v>
      </c>
    </row>
    <row r="30" spans="1:6" ht="12.75">
      <c r="A30" s="2">
        <v>29</v>
      </c>
      <c r="B30" t="s">
        <v>1140</v>
      </c>
      <c r="C30" t="s">
        <v>1141</v>
      </c>
      <c r="D30" s="2">
        <v>93</v>
      </c>
      <c r="E30" s="2">
        <v>25</v>
      </c>
      <c r="F30" s="3" t="str">
        <f>HYPERLINK("http://www.sah.co.rs/dds238-1.html?___store=serbian"," Pogledajte proizvod na sajtu -&gt;")</f>
        <v> Pogledajte proizvod na sajtu -&gt;</v>
      </c>
    </row>
    <row r="31" spans="1:6" ht="12.75">
      <c r="A31" s="2">
        <v>30</v>
      </c>
      <c r="B31" t="s">
        <v>1142</v>
      </c>
      <c r="C31" t="s">
        <v>1143</v>
      </c>
      <c r="D31" s="2">
        <v>31</v>
      </c>
      <c r="E31" s="2">
        <v>30</v>
      </c>
      <c r="F31" s="3" t="str">
        <f>HYPERLINK("http://www.sah.co.rs/sgcs-0-20ma.html?___store=serbian"," Pogledajte proizvod na sajtu -&gt;")</f>
        <v> Pogledajte proizvod na sajtu -&gt;</v>
      </c>
    </row>
    <row r="32" spans="1:6" ht="12.75">
      <c r="A32" s="2">
        <v>31</v>
      </c>
      <c r="B32" t="s">
        <v>1144</v>
      </c>
      <c r="C32" t="s">
        <v>1145</v>
      </c>
      <c r="D32" s="2">
        <v>36</v>
      </c>
      <c r="E32" s="2">
        <v>38</v>
      </c>
      <c r="F32" s="3" t="str">
        <f>HYPERLINK("http://www.sah.co.rs/dt-6236b.html?___store=serbian"," Pogledajte proizvod na sajtu -&gt;")</f>
        <v> Pogledajte proizvod na sajtu -&gt;</v>
      </c>
    </row>
    <row r="33" spans="1:6" ht="12.75">
      <c r="A33" s="2">
        <v>32</v>
      </c>
      <c r="B33" t="s">
        <v>1146</v>
      </c>
      <c r="C33" t="s">
        <v>1147</v>
      </c>
      <c r="D33" s="2">
        <v>39</v>
      </c>
      <c r="E33" s="2">
        <v>15</v>
      </c>
      <c r="F33" s="3" t="str">
        <f>HYPERLINK("http://www.sah.co.rs/g600.html?___store=serbian"," Pogledajte proizvod na sajtu -&gt;")</f>
        <v> Pogledajte proizvod na sajtu -&gt;</v>
      </c>
    </row>
    <row r="34" spans="1:6" ht="12.75">
      <c r="A34" s="2">
        <v>33</v>
      </c>
      <c r="B34" t="s">
        <v>1148</v>
      </c>
      <c r="C34" t="s">
        <v>1149</v>
      </c>
      <c r="D34" s="2">
        <v>58</v>
      </c>
      <c r="E34" s="2">
        <v>3</v>
      </c>
      <c r="F34" s="3" t="str">
        <f>HYPERLINK("http://www.sah.co.rs/dywsj.html?___store=serbian"," Pogledajte proizvod na sajtu -&gt;")</f>
        <v> Pogledajte proizvod na sajtu -&gt;</v>
      </c>
    </row>
    <row r="35" spans="1:6" ht="12.75">
      <c r="A35" s="2">
        <v>34</v>
      </c>
      <c r="B35" t="s">
        <v>1150</v>
      </c>
      <c r="C35" t="s">
        <v>1151</v>
      </c>
      <c r="D35" s="2">
        <v>307</v>
      </c>
      <c r="E35" s="2">
        <v>1</v>
      </c>
      <c r="F35" s="3" t="str">
        <f>HYPERLINK("http://www.sah.co.rs/ks-4.html?___store=serbian","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3.421875" style="0" customWidth="1"/>
    <col min="3" max="3" width="36.003906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1152</v>
      </c>
      <c r="C2" t="s">
        <v>1153</v>
      </c>
      <c r="D2" s="2">
        <v>8</v>
      </c>
      <c r="E2" s="2">
        <v>260</v>
      </c>
      <c r="F2" s="3" t="str">
        <f>HYPERLINK("http://www.sah.co.rs/ka-300-1020-5.html?___store=serbian"," Pogledajte proizvod na sajtu -&gt;")</f>
        <v> Pogledajte proizvod na sajtu -&gt;</v>
      </c>
    </row>
    <row r="3" spans="1:6" ht="12.75">
      <c r="A3" s="2">
        <v>2</v>
      </c>
      <c r="B3" t="s">
        <v>1154</v>
      </c>
      <c r="C3" t="s">
        <v>1155</v>
      </c>
      <c r="D3" s="2">
        <v>5</v>
      </c>
      <c r="E3" s="2">
        <v>300</v>
      </c>
      <c r="F3" s="3" t="str">
        <f>HYPERLINK("http://www.sah.co.rs/ka-600-1100-5.html?___store=serbian"," Pogledajte proizvod na sajtu -&gt;")</f>
        <v> Pogledajte proizvod na sajtu -&gt;</v>
      </c>
    </row>
    <row r="4" spans="1:6" ht="12.75">
      <c r="A4" s="2">
        <v>3</v>
      </c>
      <c r="B4" t="s">
        <v>1156</v>
      </c>
      <c r="C4" t="s">
        <v>1157</v>
      </c>
      <c r="D4" s="2">
        <v>2</v>
      </c>
      <c r="E4" s="2">
        <v>320</v>
      </c>
      <c r="F4" s="3" t="str">
        <f>HYPERLINK("http://www.sah.co.rs/ka-600-1200-5.html?___store=serbian"," Pogledajte proizvod na sajtu -&gt;")</f>
        <v> Pogledajte proizvod na sajtu -&gt;</v>
      </c>
    </row>
    <row r="5" spans="1:6" ht="12.75">
      <c r="A5" s="2">
        <v>4</v>
      </c>
      <c r="B5" t="s">
        <v>1158</v>
      </c>
      <c r="C5" t="s">
        <v>1159</v>
      </c>
      <c r="D5" s="2">
        <v>9</v>
      </c>
      <c r="E5" s="2">
        <v>350</v>
      </c>
      <c r="F5" s="3" t="str">
        <f>HYPERLINK("http://www.sah.co.rs/ka-600-1300-5.html?___store=serbian"," Pogledajte proizvod na sajtu -&gt;")</f>
        <v> Pogledajte proizvod na sajtu -&gt;</v>
      </c>
    </row>
    <row r="6" spans="1:6" ht="12.75">
      <c r="A6" s="2">
        <v>5</v>
      </c>
      <c r="B6" t="s">
        <v>1160</v>
      </c>
      <c r="C6" t="s">
        <v>1161</v>
      </c>
      <c r="D6" s="2">
        <v>5</v>
      </c>
      <c r="E6" s="2">
        <v>380</v>
      </c>
      <c r="F6" s="3" t="str">
        <f>HYPERLINK("http://www.sah.co.rs/ka-600-1400-5.html?___store=serbian"," Pogledajte proizvod na sajtu -&gt;")</f>
        <v> Pogledajte proizvod na sajtu -&gt;</v>
      </c>
    </row>
    <row r="7" spans="1:6" ht="12.75">
      <c r="A7" s="2">
        <v>6</v>
      </c>
      <c r="B7" t="s">
        <v>1162</v>
      </c>
      <c r="C7" t="s">
        <v>1163</v>
      </c>
      <c r="D7" s="2">
        <v>7</v>
      </c>
      <c r="E7" s="2">
        <v>400</v>
      </c>
      <c r="F7" s="3" t="str">
        <f>HYPERLINK("http://www.sah.co.rs/ka-600-1500-5.html?___store=serbian"," Pogledajte proizvod na sajtu -&gt;")</f>
        <v> Pogledajte proizvod na sajtu -&gt;</v>
      </c>
    </row>
    <row r="8" spans="1:6" ht="12.75">
      <c r="A8" s="2">
        <v>7</v>
      </c>
      <c r="B8" t="s">
        <v>1164</v>
      </c>
      <c r="C8" t="s">
        <v>1165</v>
      </c>
      <c r="D8" s="2">
        <v>4</v>
      </c>
      <c r="E8" s="2">
        <v>430</v>
      </c>
      <c r="F8" s="3" t="str">
        <f>HYPERLINK("http://www.sah.co.rs/ka-600-1600-5.html?___store=serbian"," Pogledajte proizvod na sajtu -&gt;")</f>
        <v> Pogledajte proizvod na sajtu -&gt;</v>
      </c>
    </row>
    <row r="9" spans="1:6" ht="12.75">
      <c r="A9" s="2">
        <v>8</v>
      </c>
      <c r="B9" t="s">
        <v>1166</v>
      </c>
      <c r="C9" t="s">
        <v>1167</v>
      </c>
      <c r="D9" s="2">
        <v>6</v>
      </c>
      <c r="E9" s="2">
        <v>460</v>
      </c>
      <c r="F9" s="3" t="str">
        <f>HYPERLINK("http://www.sah.co.rs/ka-600-1700-5.html?___store=serbian"," Pogledajte proizvod na sajtu -&gt;")</f>
        <v> Pogledajte proizvod na sajtu -&gt;</v>
      </c>
    </row>
    <row r="10" spans="1:6" ht="12.75">
      <c r="A10" s="2">
        <v>9</v>
      </c>
      <c r="B10" t="s">
        <v>1168</v>
      </c>
      <c r="C10" t="s">
        <v>1169</v>
      </c>
      <c r="D10" s="2">
        <v>2</v>
      </c>
      <c r="E10" s="2">
        <v>175</v>
      </c>
      <c r="F10" s="3" t="str">
        <f>HYPERLINK("http://www.sah.co.rs/ka-300-170-5.html?___store=serbian"," Pogledajte proizvod na sajtu -&gt;")</f>
        <v> Pogledajte proizvod na sajtu -&gt;</v>
      </c>
    </row>
    <row r="11" spans="1:6" ht="12.75">
      <c r="A11" s="2">
        <v>10</v>
      </c>
      <c r="B11" t="s">
        <v>1170</v>
      </c>
      <c r="C11" t="s">
        <v>1169</v>
      </c>
      <c r="D11" s="2">
        <v>5</v>
      </c>
      <c r="E11" s="2">
        <v>200</v>
      </c>
      <c r="F11" s="3" t="str">
        <f>HYPERLINK("http://www.sah.co.rs/ka-500-170-5.html?___store=serbian"," Pogledajte proizvod na sajtu -&gt;")</f>
        <v> Pogledajte proizvod na sajtu -&gt;</v>
      </c>
    </row>
    <row r="12" spans="1:6" ht="12.75">
      <c r="A12" s="2">
        <v>11</v>
      </c>
      <c r="B12" t="s">
        <v>1171</v>
      </c>
      <c r="C12" t="s">
        <v>1172</v>
      </c>
      <c r="D12" s="2">
        <v>1</v>
      </c>
      <c r="E12" s="2">
        <v>500</v>
      </c>
      <c r="F12" s="3" t="str">
        <f>HYPERLINK("http://www.sah.co.rs/ka-600-1800-5.html?___store=serbian"," Pogledajte proizvod na sajtu -&gt;")</f>
        <v> Pogledajte proizvod na sajtu -&gt;</v>
      </c>
    </row>
    <row r="13" spans="1:6" ht="12.75">
      <c r="A13" s="2">
        <v>12</v>
      </c>
      <c r="B13" t="s">
        <v>1173</v>
      </c>
      <c r="C13" t="s">
        <v>1174</v>
      </c>
      <c r="D13" s="2">
        <v>1</v>
      </c>
      <c r="E13" s="2">
        <v>550</v>
      </c>
      <c r="F13" s="3" t="str">
        <f>HYPERLINK("http://www.sah.co.rs/ka-600-1900-5.html?___store=serbian"," Pogledajte proizvod na sajtu -&gt;")</f>
        <v> Pogledajte proizvod na sajtu -&gt;</v>
      </c>
    </row>
    <row r="14" spans="1:6" ht="12.75">
      <c r="A14" s="2">
        <v>13</v>
      </c>
      <c r="B14" t="s">
        <v>1175</v>
      </c>
      <c r="C14" t="s">
        <v>1176</v>
      </c>
      <c r="D14" s="2">
        <v>2</v>
      </c>
      <c r="E14" s="2">
        <v>590</v>
      </c>
      <c r="F14" s="3" t="str">
        <f>HYPERLINK("http://www.sah.co.rs/ka-600-2000-5.html?___store=serbian"," Pogledajte proizvod na sajtu -&gt;")</f>
        <v> Pogledajte proizvod na sajtu -&gt;</v>
      </c>
    </row>
    <row r="15" spans="1:6" ht="12.75">
      <c r="A15" s="2">
        <v>14</v>
      </c>
      <c r="B15" t="s">
        <v>1177</v>
      </c>
      <c r="C15" t="s">
        <v>1178</v>
      </c>
      <c r="D15" s="2">
        <v>1</v>
      </c>
      <c r="E15" s="2">
        <v>620</v>
      </c>
      <c r="F15" s="3" t="str">
        <f>HYPERLINK("http://www.sah.co.rs/ka-600-2100-5.html?___store=serbian"," Pogledajte proizvod na sajtu -&gt;")</f>
        <v> Pogledajte proizvod na sajtu -&gt;</v>
      </c>
    </row>
    <row r="16" spans="1:6" ht="12.75">
      <c r="A16" s="2">
        <v>15</v>
      </c>
      <c r="B16" t="s">
        <v>1179</v>
      </c>
      <c r="C16" t="s">
        <v>1180</v>
      </c>
      <c r="D16" s="2">
        <v>7</v>
      </c>
      <c r="E16" s="2">
        <v>175</v>
      </c>
      <c r="F16" s="3" t="str">
        <f>HYPERLINK("http://www.sah.co.rs/ka-300-220-5.html?___store=serbian"," Pogledajte proizvod na sajtu -&gt;")</f>
        <v> Pogledajte proizvod na sajtu -&gt;</v>
      </c>
    </row>
    <row r="17" spans="1:6" ht="12.75">
      <c r="A17" s="2">
        <v>16</v>
      </c>
      <c r="B17" t="s">
        <v>1181</v>
      </c>
      <c r="C17" t="s">
        <v>1180</v>
      </c>
      <c r="D17" s="2">
        <v>5</v>
      </c>
      <c r="E17" s="2">
        <v>200</v>
      </c>
      <c r="F17" s="3" t="str">
        <f>HYPERLINK("http://www.sah.co.rs/ka-500-220-5.html?___store=serbian"," Pogledajte proizvod na sajtu -&gt;")</f>
        <v> Pogledajte proizvod na sajtu -&gt;</v>
      </c>
    </row>
    <row r="18" spans="1:6" ht="12.75">
      <c r="A18" s="2">
        <v>17</v>
      </c>
      <c r="B18" t="s">
        <v>1182</v>
      </c>
      <c r="C18" t="s">
        <v>1183</v>
      </c>
      <c r="D18" s="2">
        <v>1</v>
      </c>
      <c r="E18" s="2">
        <v>670</v>
      </c>
      <c r="F18" s="3" t="str">
        <f>HYPERLINK("http://www.sah.co.rs/ka-600-2300-5.html?___store=serbian"," Pogledajte proizvod na sajtu -&gt;")</f>
        <v> Pogledajte proizvod na sajtu -&gt;</v>
      </c>
    </row>
    <row r="19" spans="1:6" ht="12.75">
      <c r="A19" s="2">
        <v>18</v>
      </c>
      <c r="B19" t="s">
        <v>1184</v>
      </c>
      <c r="C19" t="s">
        <v>1185</v>
      </c>
      <c r="D19" s="2">
        <v>0</v>
      </c>
      <c r="E19" s="2">
        <v>720</v>
      </c>
      <c r="F19" s="3" t="str">
        <f>HYPERLINK("http://www.sah.co.rs/ka-600-2500-5.html?___store=serbian"," Pogledajte proizvod na sajtu -&gt;")</f>
        <v> Pogledajte proizvod na sajtu -&gt;</v>
      </c>
    </row>
    <row r="20" spans="1:6" ht="12.75">
      <c r="A20" s="2">
        <v>19</v>
      </c>
      <c r="B20" t="s">
        <v>1186</v>
      </c>
      <c r="C20" t="s">
        <v>1187</v>
      </c>
      <c r="D20" s="2">
        <v>4</v>
      </c>
      <c r="E20" s="2">
        <v>200</v>
      </c>
      <c r="F20" s="3" t="str">
        <f>HYPERLINK("http://www.sah.co.rs/ka-500-270-5.html?___store=serbian"," Pogledajte proizvod na sajtu -&gt;")</f>
        <v> Pogledajte proizvod na sajtu -&gt;</v>
      </c>
    </row>
    <row r="21" spans="1:6" ht="12.75">
      <c r="A21" s="2">
        <v>20</v>
      </c>
      <c r="B21" t="s">
        <v>1188</v>
      </c>
      <c r="C21" t="s">
        <v>1187</v>
      </c>
      <c r="D21" s="2">
        <v>6</v>
      </c>
      <c r="E21" s="2">
        <v>175</v>
      </c>
      <c r="F21" s="3" t="str">
        <f>HYPERLINK("http://www.sah.co.rs/ka-300-270-5.html?___store=serbian"," Pogledajte proizvod na sajtu -&gt;")</f>
        <v> Pogledajte proizvod na sajtu -&gt;</v>
      </c>
    </row>
    <row r="22" spans="1:6" ht="12.75">
      <c r="A22" s="2">
        <v>21</v>
      </c>
      <c r="B22" t="s">
        <v>1189</v>
      </c>
      <c r="C22" t="s">
        <v>1190</v>
      </c>
      <c r="D22" s="2">
        <v>2</v>
      </c>
      <c r="E22" s="2">
        <v>800</v>
      </c>
      <c r="F22" s="3" t="str">
        <f>HYPERLINK("http://www.sah.co.rs/ka-600-2800-5.html?___store=serbian"," Pogledajte proizvod na sajtu -&gt;")</f>
        <v> Pogledajte proizvod na sajtu -&gt;</v>
      </c>
    </row>
    <row r="23" spans="1:6" ht="12.75">
      <c r="A23" s="2">
        <v>22</v>
      </c>
      <c r="B23" t="s">
        <v>1191</v>
      </c>
      <c r="C23" t="s">
        <v>1192</v>
      </c>
      <c r="D23" s="2">
        <v>2</v>
      </c>
      <c r="E23" s="2">
        <v>200</v>
      </c>
      <c r="F23" s="3" t="str">
        <f>HYPERLINK("http://www.sah.co.rs/ka-500-320-5.html?___store=serbian"," Pogledajte proizvod na sajtu -&gt;")</f>
        <v> Pogledajte proizvod na sajtu -&gt;</v>
      </c>
    </row>
    <row r="24" spans="1:6" ht="12.75">
      <c r="A24" s="2">
        <v>23</v>
      </c>
      <c r="B24" t="s">
        <v>1193</v>
      </c>
      <c r="C24" t="s">
        <v>1192</v>
      </c>
      <c r="D24" s="2">
        <v>0</v>
      </c>
      <c r="E24" s="2">
        <v>175</v>
      </c>
      <c r="F24" s="3" t="str">
        <f>HYPERLINK("http://www.sah.co.rs/ka-300-320-5.html?___store=serbian"," Pogledajte proizvod na sajtu -&gt;")</f>
        <v> Pogledajte proizvod na sajtu -&gt;</v>
      </c>
    </row>
    <row r="25" spans="1:6" ht="12.75">
      <c r="A25" s="2">
        <v>24</v>
      </c>
      <c r="B25" t="s">
        <v>1194</v>
      </c>
      <c r="C25" t="s">
        <v>1195</v>
      </c>
      <c r="D25" s="2">
        <v>4</v>
      </c>
      <c r="E25" s="2">
        <v>175</v>
      </c>
      <c r="F25" s="3" t="str">
        <f>HYPERLINK("http://www.sah.co.rs/ka-300-370-5.html?___store=serbian"," Pogledajte proizvod na sajtu -&gt;")</f>
        <v> Pogledajte proizvod na sajtu -&gt;</v>
      </c>
    </row>
    <row r="26" spans="1:6" ht="12.75">
      <c r="A26" s="2">
        <v>25</v>
      </c>
      <c r="B26" t="s">
        <v>1196</v>
      </c>
      <c r="C26" t="s">
        <v>1195</v>
      </c>
      <c r="D26" s="2">
        <v>4</v>
      </c>
      <c r="E26" s="2">
        <v>200</v>
      </c>
      <c r="F26" s="3" t="str">
        <f>HYPERLINK("http://www.sah.co.rs/ka-500-370-5.html?___store=serbian"," Pogledajte proizvod na sajtu -&gt;")</f>
        <v> Pogledajte proizvod na sajtu -&gt;</v>
      </c>
    </row>
    <row r="27" spans="1:6" ht="12.75">
      <c r="A27" s="2">
        <v>26</v>
      </c>
      <c r="B27" t="s">
        <v>1197</v>
      </c>
      <c r="C27" t="s">
        <v>1198</v>
      </c>
      <c r="D27" s="2">
        <v>4</v>
      </c>
      <c r="E27" s="2">
        <v>175</v>
      </c>
      <c r="F27" s="3" t="str">
        <f>HYPERLINK("http://www.sah.co.rs/ka-300-420-5.html?___store=serbian"," Pogledajte proizvod na sajtu -&gt;")</f>
        <v> Pogledajte proizvod na sajtu -&gt;</v>
      </c>
    </row>
    <row r="28" spans="1:6" ht="12.75">
      <c r="A28" s="2">
        <v>27</v>
      </c>
      <c r="B28" t="s">
        <v>1199</v>
      </c>
      <c r="C28" t="s">
        <v>1200</v>
      </c>
      <c r="D28" s="2">
        <v>9</v>
      </c>
      <c r="E28" s="2">
        <v>175</v>
      </c>
      <c r="F28" s="3" t="str">
        <f>HYPERLINK("http://www.sah.co.rs/ka-300-470-5.html?___store=serbian"," Pogledajte proizvod na sajtu -&gt;")</f>
        <v> Pogledajte proizvod na sajtu -&gt;</v>
      </c>
    </row>
    <row r="29" spans="1:6" ht="12.75">
      <c r="A29" s="2">
        <v>28</v>
      </c>
      <c r="B29" t="s">
        <v>1201</v>
      </c>
      <c r="C29" t="s">
        <v>1202</v>
      </c>
      <c r="D29" s="2">
        <v>12</v>
      </c>
      <c r="E29" s="2">
        <v>175</v>
      </c>
      <c r="F29" s="3" t="str">
        <f>HYPERLINK("http://www.sah.co.rs/ka-300-520-5.html?___store=serbian"," Pogledajte proizvod na sajtu -&gt;")</f>
        <v> Pogledajte proizvod na sajtu -&gt;</v>
      </c>
    </row>
    <row r="30" spans="1:6" ht="12.75">
      <c r="A30" s="2">
        <v>29</v>
      </c>
      <c r="B30" t="s">
        <v>1203</v>
      </c>
      <c r="C30" t="s">
        <v>1204</v>
      </c>
      <c r="D30" s="2">
        <v>9</v>
      </c>
      <c r="E30" s="2">
        <v>175</v>
      </c>
      <c r="F30" s="3" t="str">
        <f>HYPERLINK("http://www.sah.co.rs/ka-300-570-5.html?___store=serbian"," Pogledajte proizvod na sajtu -&gt;")</f>
        <v> Pogledajte proizvod na sajtu -&gt;</v>
      </c>
    </row>
    <row r="31" spans="1:6" ht="12.75">
      <c r="A31" s="2">
        <v>30</v>
      </c>
      <c r="B31" t="s">
        <v>1205</v>
      </c>
      <c r="C31" t="s">
        <v>1206</v>
      </c>
      <c r="D31" s="2">
        <v>8</v>
      </c>
      <c r="E31" s="2">
        <v>185</v>
      </c>
      <c r="F31" s="3" t="str">
        <f>HYPERLINK("http://www.sah.co.rs/ka-300-620-5.html?___store=serbian"," Pogledajte proizvod na sajtu -&gt;")</f>
        <v> Pogledajte proizvod na sajtu -&gt;</v>
      </c>
    </row>
    <row r="32" spans="1:6" ht="12.75">
      <c r="A32" s="2">
        <v>31</v>
      </c>
      <c r="B32" t="s">
        <v>1207</v>
      </c>
      <c r="C32" t="s">
        <v>1208</v>
      </c>
      <c r="D32" s="2">
        <v>5</v>
      </c>
      <c r="E32" s="2">
        <v>190</v>
      </c>
      <c r="F32" s="3" t="str">
        <f>HYPERLINK("http://www.sah.co.rs/ka-300-670-5.html?___store=serbian"," Pogledajte proizvod na sajtu -&gt;")</f>
        <v> Pogledajte proizvod na sajtu -&gt;</v>
      </c>
    </row>
    <row r="33" spans="1:6" ht="12.75">
      <c r="A33" s="2">
        <v>32</v>
      </c>
      <c r="B33" t="s">
        <v>1209</v>
      </c>
      <c r="C33" t="s">
        <v>1210</v>
      </c>
      <c r="D33" s="2">
        <v>7</v>
      </c>
      <c r="E33" s="2">
        <v>195</v>
      </c>
      <c r="F33" s="3" t="str">
        <f>HYPERLINK("http://www.sah.co.rs/ka-300-720-5.html?___store=serbian"," Pogledajte proizvod na sajtu -&gt;")</f>
        <v> Pogledajte proizvod na sajtu -&gt;</v>
      </c>
    </row>
    <row r="34" spans="1:6" ht="12.75">
      <c r="A34" s="2">
        <v>33</v>
      </c>
      <c r="B34" t="s">
        <v>1211</v>
      </c>
      <c r="C34" t="s">
        <v>1212</v>
      </c>
      <c r="D34" s="2">
        <v>4</v>
      </c>
      <c r="E34" s="2">
        <v>200</v>
      </c>
      <c r="F34" s="3" t="str">
        <f>HYPERLINK("http://www.sah.co.rs/ka-300-770-5.html?___store=serbian"," Pogledajte proizvod na sajtu -&gt;")</f>
        <v> Pogledajte proizvod na sajtu -&gt;</v>
      </c>
    </row>
    <row r="35" spans="1:6" ht="12.75">
      <c r="A35" s="2">
        <v>34</v>
      </c>
      <c r="B35" t="s">
        <v>1213</v>
      </c>
      <c r="C35" t="s">
        <v>1214</v>
      </c>
      <c r="D35" s="2">
        <v>6</v>
      </c>
      <c r="E35" s="2">
        <v>210</v>
      </c>
      <c r="F35" s="3" t="str">
        <f>HYPERLINK("http://www.sah.co.rs/ka-300-820-5.html?___store=serbian"," Pogledajte proizvod na sajtu -&gt;")</f>
        <v> Pogledajte proizvod na sajtu -&gt;</v>
      </c>
    </row>
    <row r="36" spans="1:6" ht="12.75">
      <c r="A36" s="2">
        <v>35</v>
      </c>
      <c r="B36" t="s">
        <v>1215</v>
      </c>
      <c r="C36" t="s">
        <v>1216</v>
      </c>
      <c r="D36" s="2">
        <v>4</v>
      </c>
      <c r="E36" s="2">
        <v>220</v>
      </c>
      <c r="F36" s="3" t="str">
        <f>HYPERLINK("http://www.sah.co.rs/ka-300-870-5.html?___store=serbian"," Pogledajte proizvod na sajtu -&gt;")</f>
        <v> Pogledajte proizvod na sajtu -&gt;</v>
      </c>
    </row>
    <row r="37" spans="1:6" ht="12.75">
      <c r="A37" s="2">
        <v>36</v>
      </c>
      <c r="B37" t="s">
        <v>1217</v>
      </c>
      <c r="C37" t="s">
        <v>1218</v>
      </c>
      <c r="D37" s="2">
        <v>7</v>
      </c>
      <c r="E37" s="2">
        <v>230</v>
      </c>
      <c r="F37" s="3" t="str">
        <f>HYPERLINK("http://www.sah.co.rs/ka-300-920-5.html?___store=serbian"," Pogledajte proizvod na sajtu -&gt;")</f>
        <v> Pogledajte proizvod na sajtu -&gt;</v>
      </c>
    </row>
    <row r="38" spans="1:6" ht="12.75">
      <c r="A38" s="2">
        <v>37</v>
      </c>
      <c r="B38" t="s">
        <v>1219</v>
      </c>
      <c r="C38" t="s">
        <v>1220</v>
      </c>
      <c r="D38" s="2">
        <v>7</v>
      </c>
      <c r="E38" s="2">
        <v>240</v>
      </c>
      <c r="F38" s="3" t="str">
        <f>HYPERLINK("http://www.sah.co.rs/ka-300-970-5.html?___store=serbian","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4.140625" style="0" customWidth="1"/>
    <col min="3" max="3" width="47.003906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1221</v>
      </c>
      <c r="C2" t="s">
        <v>1222</v>
      </c>
      <c r="D2" s="2">
        <v>27</v>
      </c>
      <c r="E2" s="2">
        <v>11</v>
      </c>
      <c r="F2" s="3" t="str">
        <f>HYPERLINK("http://www.sah.co.rs/gv2-m01-rs01.html?___store=serbian"," Pogledajte proizvod na sajtu -&gt;")</f>
        <v> Pogledajte proizvod na sajtu -&gt;</v>
      </c>
    </row>
    <row r="3" spans="1:6" ht="12.75">
      <c r="A3" s="2">
        <v>2</v>
      </c>
      <c r="B3" t="s">
        <v>1223</v>
      </c>
      <c r="C3" t="s">
        <v>1224</v>
      </c>
      <c r="D3" s="2">
        <v>31</v>
      </c>
      <c r="E3" s="2">
        <v>11</v>
      </c>
      <c r="F3" s="3" t="str">
        <f>HYPERLINK("http://www.sah.co.rs/gv2-m02-rs02.html?___store=serbian"," Pogledajte proizvod na sajtu -&gt;")</f>
        <v> Pogledajte proizvod na sajtu -&gt;</v>
      </c>
    </row>
    <row r="4" spans="1:6" ht="12.75">
      <c r="A4" s="2">
        <v>3</v>
      </c>
      <c r="B4" t="s">
        <v>1225</v>
      </c>
      <c r="C4" t="s">
        <v>1226</v>
      </c>
      <c r="D4" s="2">
        <v>36</v>
      </c>
      <c r="E4" s="2">
        <v>11</v>
      </c>
      <c r="F4" s="3" t="str">
        <f>HYPERLINK("http://www.sah.co.rs/gv2-m03-rs03.html?___store=serbian"," Pogledajte proizvod na sajtu -&gt;")</f>
        <v> Pogledajte proizvod na sajtu -&gt;</v>
      </c>
    </row>
    <row r="5" spans="1:6" ht="12.75">
      <c r="A5" s="2">
        <v>4</v>
      </c>
      <c r="B5" t="s">
        <v>1227</v>
      </c>
      <c r="C5" t="s">
        <v>1228</v>
      </c>
      <c r="D5" s="2">
        <v>45</v>
      </c>
      <c r="E5" s="2">
        <v>11</v>
      </c>
      <c r="F5" s="3" t="str">
        <f>HYPERLINK("http://www.sah.co.rs/gv2-m04-rs04.html?___store=serbian"," Pogledajte proizvod na sajtu -&gt;")</f>
        <v> Pogledajte proizvod na sajtu -&gt;</v>
      </c>
    </row>
    <row r="6" spans="1:6" ht="12.75">
      <c r="A6" s="2">
        <v>5</v>
      </c>
      <c r="B6" t="s">
        <v>1229</v>
      </c>
      <c r="C6" t="s">
        <v>1230</v>
      </c>
      <c r="D6" s="2">
        <v>26</v>
      </c>
      <c r="E6" s="2">
        <v>11</v>
      </c>
      <c r="F6" s="3" t="str">
        <f>HYPERLINK("http://www.sah.co.rs/gv2-m05-rs05.html?___store=serbian"," Pogledajte proizvod na sajtu -&gt;")</f>
        <v> Pogledajte proizvod na sajtu -&gt;</v>
      </c>
    </row>
    <row r="7" spans="1:6" ht="12.75">
      <c r="A7" s="2">
        <v>6</v>
      </c>
      <c r="B7" t="s">
        <v>1231</v>
      </c>
      <c r="C7" t="s">
        <v>1232</v>
      </c>
      <c r="D7" s="2">
        <v>72</v>
      </c>
      <c r="E7" s="2">
        <v>11</v>
      </c>
      <c r="F7" s="3" t="str">
        <f>HYPERLINK("http://www.sah.co.rs/gv2-m06-rs06.html?___store=serbian"," Pogledajte proizvod na sajtu -&gt;")</f>
        <v> Pogledajte proizvod na sajtu -&gt;</v>
      </c>
    </row>
    <row r="8" spans="1:6" ht="12.75">
      <c r="A8" s="2">
        <v>7</v>
      </c>
      <c r="B8" t="s">
        <v>1233</v>
      </c>
      <c r="C8" t="s">
        <v>1234</v>
      </c>
      <c r="D8" s="2">
        <v>111</v>
      </c>
      <c r="E8" s="2">
        <v>11</v>
      </c>
      <c r="F8" s="3" t="str">
        <f>HYPERLINK("http://www.sah.co.rs/gv2-m07-rs07.html?___store=serbian"," Pogledajte proizvod na sajtu -&gt;")</f>
        <v> Pogledajte proizvod na sajtu -&gt;</v>
      </c>
    </row>
    <row r="9" spans="1:6" ht="12.75">
      <c r="A9" s="2">
        <v>8</v>
      </c>
      <c r="B9" t="s">
        <v>1235</v>
      </c>
      <c r="C9" t="s">
        <v>1236</v>
      </c>
      <c r="D9" s="2">
        <v>82</v>
      </c>
      <c r="E9" s="2">
        <v>11</v>
      </c>
      <c r="F9" s="3" t="str">
        <f>HYPERLINK("http://www.sah.co.rs/gv2-m20-rs20.html?___store=serbian"," Pogledajte proizvod na sajtu -&gt;")</f>
        <v> Pogledajte proizvod na sajtu -&gt;</v>
      </c>
    </row>
    <row r="10" spans="1:6" ht="12.75">
      <c r="A10" s="2">
        <v>9</v>
      </c>
      <c r="B10" t="s">
        <v>1237</v>
      </c>
      <c r="C10" t="s">
        <v>1238</v>
      </c>
      <c r="D10" s="2">
        <v>46</v>
      </c>
      <c r="E10" s="2">
        <v>11</v>
      </c>
      <c r="F10" s="3" t="str">
        <f>HYPERLINK("http://www.sah.co.rs/gv2-m21-rs21.html?___store=serbian"," Pogledajte proizvod na sajtu -&gt;")</f>
        <v> Pogledajte proizvod na sajtu -&gt;</v>
      </c>
    </row>
    <row r="11" spans="1:6" ht="12.75">
      <c r="A11" s="2">
        <v>10</v>
      </c>
      <c r="B11" t="s">
        <v>1239</v>
      </c>
      <c r="C11" t="s">
        <v>1240</v>
      </c>
      <c r="D11" s="2">
        <v>108</v>
      </c>
      <c r="E11" s="2">
        <v>11</v>
      </c>
      <c r="F11" s="3" t="str">
        <f>HYPERLINK("http://www.sah.co.rs/gv2-m08-rs08.html?___store=serbian"," Pogledajte proizvod na sajtu -&gt;")</f>
        <v> Pogledajte proizvod na sajtu -&gt;</v>
      </c>
    </row>
    <row r="12" spans="1:6" ht="12.75">
      <c r="A12" s="2">
        <v>11</v>
      </c>
      <c r="B12" t="s">
        <v>1241</v>
      </c>
      <c r="C12" t="s">
        <v>1242</v>
      </c>
      <c r="D12" s="2">
        <v>15</v>
      </c>
      <c r="E12" s="2">
        <v>11</v>
      </c>
      <c r="F12" s="3" t="str">
        <f>HYPERLINK("http://www.sah.co.rs/gv2-m22-rs22.html?___store=serbian"," Pogledajte proizvod na sajtu -&gt;")</f>
        <v> Pogledajte proizvod na sajtu -&gt;</v>
      </c>
    </row>
    <row r="13" spans="1:6" ht="12.75">
      <c r="A13" s="2">
        <v>12</v>
      </c>
      <c r="B13" t="s">
        <v>1243</v>
      </c>
      <c r="C13" t="s">
        <v>1244</v>
      </c>
      <c r="D13" s="2">
        <v>37</v>
      </c>
      <c r="E13" s="2">
        <v>11</v>
      </c>
      <c r="F13" s="3" t="str">
        <f>HYPERLINK("http://www.sah.co.rs/gv2-m32-rs32.html?___store=serbian"," Pogledajte proizvod na sajtu -&gt;")</f>
        <v> Pogledajte proizvod na sajtu -&gt;</v>
      </c>
    </row>
    <row r="14" spans="1:6" ht="12.75">
      <c r="A14" s="2">
        <v>13</v>
      </c>
      <c r="B14" t="s">
        <v>1245</v>
      </c>
      <c r="C14" t="s">
        <v>1246</v>
      </c>
      <c r="D14" s="2">
        <v>61</v>
      </c>
      <c r="E14" s="2">
        <v>11</v>
      </c>
      <c r="F14" s="3" t="str">
        <f>HYPERLINK("http://www.sah.co.rs/gv2-m10-rs10.html?___store=serbian"," Pogledajte proizvod na sajtu -&gt;")</f>
        <v> Pogledajte proizvod na sajtu -&gt;</v>
      </c>
    </row>
    <row r="15" spans="1:6" ht="12.75">
      <c r="A15" s="2">
        <v>14</v>
      </c>
      <c r="B15" t="s">
        <v>1247</v>
      </c>
      <c r="C15" t="s">
        <v>1248</v>
      </c>
      <c r="D15" s="2">
        <v>52</v>
      </c>
      <c r="E15" s="2">
        <v>11</v>
      </c>
      <c r="F15" s="3" t="str">
        <f>HYPERLINK("http://www.sah.co.rs/gv2-m14-rs14.html?___store=serbian"," Pogledajte proizvod na sajtu -&gt;")</f>
        <v> Pogledajte proizvod na sajtu -&gt;</v>
      </c>
    </row>
    <row r="16" spans="1:6" ht="12.75">
      <c r="A16" s="2">
        <v>15</v>
      </c>
      <c r="B16" t="s">
        <v>1249</v>
      </c>
      <c r="C16" t="s">
        <v>1250</v>
      </c>
      <c r="D16" s="2">
        <v>74</v>
      </c>
      <c r="E16" s="2">
        <v>11</v>
      </c>
      <c r="F16" s="3" t="str">
        <f>HYPERLINK("http://www.sah.co.rs/gv2-m16-rs16.html?___store=serbian"," Pogledajte proizvod na sajtu -&gt;")</f>
        <v> Pogledajte proizvod na sajtu -&gt;</v>
      </c>
    </row>
    <row r="17" spans="1:6" ht="12.75">
      <c r="A17" s="2">
        <v>16</v>
      </c>
      <c r="B17" t="s">
        <v>1251</v>
      </c>
      <c r="C17" t="s">
        <v>1252</v>
      </c>
      <c r="D17" s="2">
        <v>188</v>
      </c>
      <c r="E17" s="2">
        <v>10</v>
      </c>
      <c r="F17" s="3" t="str">
        <f>HYPERLINK("http://www.sah.co.rs/gv2-ad1001.html?___store=serbian","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8.140625" style="0" customWidth="1"/>
    <col min="3" max="3" width="33.574218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1253</v>
      </c>
      <c r="C2" t="s">
        <v>1254</v>
      </c>
      <c r="D2" s="2">
        <v>92</v>
      </c>
      <c r="E2" s="2">
        <v>3</v>
      </c>
      <c r="F2" s="3" t="str">
        <f>HYPERLINK("http://www.sah.co.rs/bs211b.html?___store=serbian"," Pogledajte proizvod na sajtu -&gt;")</f>
        <v> Pogledajte proizvod na sajtu -&gt;</v>
      </c>
    </row>
    <row r="3" spans="1:6" ht="12.75">
      <c r="A3" s="2">
        <v>2</v>
      </c>
      <c r="B3" t="s">
        <v>1255</v>
      </c>
      <c r="C3" t="s">
        <v>1256</v>
      </c>
      <c r="D3" s="2">
        <v>99</v>
      </c>
      <c r="E3" s="2">
        <v>3.5</v>
      </c>
      <c r="F3" s="3" t="str">
        <f>HYPERLINK("http://www.sah.co.rs/bs216b.html?___store=serbian"," Pogledajte proizvod na sajtu -&gt;")</f>
        <v> Pogledajte proizvod na sajtu -&gt;</v>
      </c>
    </row>
    <row r="4" spans="1:6" ht="12.75">
      <c r="A4" s="2">
        <v>3</v>
      </c>
      <c r="B4" t="s">
        <v>1257</v>
      </c>
      <c r="C4" t="s">
        <v>1258</v>
      </c>
      <c r="D4" s="2">
        <v>77</v>
      </c>
      <c r="E4" s="2">
        <v>4</v>
      </c>
      <c r="F4" s="3" t="str">
        <f>HYPERLINK("http://www.sah.co.rs/bs230b.html?___store=serbian","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8.57421875" style="0" customWidth="1"/>
    <col min="3" max="3" width="55.574218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1259</v>
      </c>
      <c r="C2" t="s">
        <v>1260</v>
      </c>
      <c r="D2" s="2">
        <v>37</v>
      </c>
      <c r="E2" s="2">
        <v>35</v>
      </c>
      <c r="F2" s="3" t="str">
        <f>HYPERLINK("http://www.sah.co.rs/ydt1-14.html?___store=serbian"," Pogledajte proizvod na sajtu -&gt;")</f>
        <v> Pogledajte proizvod na sajtu -&gt;</v>
      </c>
    </row>
    <row r="3" spans="1:6" ht="12.75">
      <c r="A3" s="2">
        <v>2</v>
      </c>
      <c r="B3" t="s">
        <v>1261</v>
      </c>
      <c r="C3" t="s">
        <v>1260</v>
      </c>
      <c r="D3" s="2">
        <v>11</v>
      </c>
      <c r="E3" s="2">
        <v>30</v>
      </c>
      <c r="F3" s="3" t="str">
        <f>HYPERLINK("http://www.sah.co.rs/ydt1-15.html?___store=serbian"," Pogledajte proizvod na sajtu -&gt;")</f>
        <v> Pogledajte proizvod na sajtu -&gt;</v>
      </c>
    </row>
    <row r="4" spans="1:6" ht="12.75">
      <c r="A4" s="2">
        <v>3</v>
      </c>
      <c r="B4" t="s">
        <v>1262</v>
      </c>
      <c r="C4" t="s">
        <v>1263</v>
      </c>
      <c r="D4" s="2">
        <v>231</v>
      </c>
      <c r="E4" s="2">
        <v>5</v>
      </c>
      <c r="F4" s="3" t="str">
        <f>HYPERLINK("http://www.sah.co.rs/fs-3.html?___store=serbian"," Pogledajte proizvod na sajtu -&gt;")</f>
        <v> Pogledajte proizvod na sajtu -&gt;</v>
      </c>
    </row>
    <row r="5" spans="1:6" ht="12.75">
      <c r="A5" s="2">
        <v>4</v>
      </c>
      <c r="B5" t="s">
        <v>1264</v>
      </c>
      <c r="C5" t="s">
        <v>1263</v>
      </c>
      <c r="D5" s="2">
        <v>221</v>
      </c>
      <c r="E5" s="2">
        <v>4</v>
      </c>
      <c r="F5" s="3" t="str">
        <f>HYPERLINK("http://www.sah.co.rs/fs-2.html?___store=serbian"," Pogledajte proizvod na sajtu -&gt;")</f>
        <v> Pogledajte proizvod na sajtu -&gt;</v>
      </c>
    </row>
    <row r="6" spans="1:6" ht="12.75">
      <c r="A6" s="2">
        <v>5</v>
      </c>
      <c r="B6" t="s">
        <v>1265</v>
      </c>
      <c r="C6" t="s">
        <v>1263</v>
      </c>
      <c r="D6" s="2">
        <v>76</v>
      </c>
      <c r="E6" s="2">
        <v>11</v>
      </c>
      <c r="F6" s="3" t="str">
        <f>HYPERLINK("http://www.sah.co.rs/sfm-5.html?___store=serbian"," Pogledajte proizvod na sajtu -&gt;")</f>
        <v> Pogledajte proizvod na sajtu -&gt;</v>
      </c>
    </row>
    <row r="7" spans="1:6" ht="12.75">
      <c r="A7" s="2">
        <v>6</v>
      </c>
      <c r="B7" t="s">
        <v>1266</v>
      </c>
      <c r="C7" t="s">
        <v>1267</v>
      </c>
      <c r="D7" s="2">
        <v>21</v>
      </c>
      <c r="E7" s="2">
        <v>12</v>
      </c>
      <c r="F7" s="3" t="str">
        <f>HYPERLINK("http://www.sah.co.rs/md-13h.html?___store=serbian"," Pogledajte proizvod na sajtu -&gt;")</f>
        <v> Pogledajte proizvod na sajtu -&gt;</v>
      </c>
    </row>
    <row r="8" spans="1:6" ht="12.75">
      <c r="A8" s="2">
        <v>7</v>
      </c>
      <c r="B8" t="s">
        <v>1268</v>
      </c>
      <c r="C8" t="s">
        <v>1267</v>
      </c>
      <c r="D8" s="2">
        <v>28</v>
      </c>
      <c r="E8" s="2">
        <v>12</v>
      </c>
      <c r="F8" s="3" t="str">
        <f>HYPERLINK("http://www.sah.co.rs/lt4.html?___store=serbian"," Pogledajte proizvod na sajtu -&gt;")</f>
        <v> Pogledajte proizvod na sajtu -&gt;</v>
      </c>
    </row>
    <row r="9" spans="1:6" ht="12.75">
      <c r="A9" s="2">
        <v>8</v>
      </c>
      <c r="B9" t="s">
        <v>1269</v>
      </c>
      <c r="C9" t="s">
        <v>1267</v>
      </c>
      <c r="D9" s="2">
        <v>90</v>
      </c>
      <c r="E9" s="2">
        <v>20</v>
      </c>
      <c r="F9" s="3" t="str">
        <f>HYPERLINK("http://www.sah.co.rs/sfms-1.html?___store=serbian","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F107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8.00390625" style="0" customWidth="1"/>
    <col min="3" max="3" width="48.85156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1270</v>
      </c>
      <c r="C2" t="s">
        <v>1271</v>
      </c>
      <c r="D2" s="2">
        <v>8</v>
      </c>
      <c r="E2" s="2">
        <v>80</v>
      </c>
      <c r="F2" s="3" t="str">
        <f>HYPERLINK("http://www.sah.co.rs/ms305d.html?___store=serbian"," Pogledajte proizvod na sajtu -&gt;")</f>
        <v> Pogledajte proizvod na sajtu -&gt;</v>
      </c>
    </row>
    <row r="3" spans="1:6" ht="12.75">
      <c r="A3" s="2">
        <v>2</v>
      </c>
      <c r="B3" t="s">
        <v>1272</v>
      </c>
      <c r="C3" t="s">
        <v>1273</v>
      </c>
      <c r="D3" s="2">
        <v>3</v>
      </c>
      <c r="E3" s="2">
        <v>120</v>
      </c>
      <c r="F3" s="3" t="str">
        <f>HYPERLINK("http://www.sah.co.rs/ms3010d.html?___store=serbian"," Pogledajte proizvod na sajtu -&gt;")</f>
        <v> Pogledajte proizvod na sajtu -&gt;</v>
      </c>
    </row>
    <row r="4" spans="1:6" ht="12.75">
      <c r="A4" s="2">
        <v>3</v>
      </c>
      <c r="B4" t="s">
        <v>1274</v>
      </c>
      <c r="C4" t="s">
        <v>1275</v>
      </c>
      <c r="D4" s="2">
        <v>2</v>
      </c>
      <c r="E4" s="2">
        <v>140</v>
      </c>
      <c r="F4" s="3" t="str">
        <f>HYPERLINK("http://www.sah.co.rs/ms605d.html?___store=serbian"," Pogledajte proizvod na sajtu -&gt;")</f>
        <v> Pogledajte proizvod na sajtu -&gt;</v>
      </c>
    </row>
    <row r="5" spans="1:6" ht="12.75">
      <c r="A5" s="2">
        <v>4</v>
      </c>
      <c r="B5" t="s">
        <v>1276</v>
      </c>
      <c r="C5" t="s">
        <v>1277</v>
      </c>
      <c r="D5" s="2">
        <v>17</v>
      </c>
      <c r="E5" s="2">
        <v>35</v>
      </c>
      <c r="F5" s="3" t="str">
        <f>HYPERLINK("http://www.sah.co.rs/edr-120-12.html?___store=serbian"," Pogledajte proizvod na sajtu -&gt;")</f>
        <v> Pogledajte proizvod na sajtu -&gt;</v>
      </c>
    </row>
    <row r="6" spans="1:6" ht="12.75">
      <c r="A6" s="2">
        <v>5</v>
      </c>
      <c r="B6" t="s">
        <v>1278</v>
      </c>
      <c r="C6" t="s">
        <v>1279</v>
      </c>
      <c r="D6" s="2">
        <v>40</v>
      </c>
      <c r="E6" s="2">
        <v>18</v>
      </c>
      <c r="F6" s="3" t="str">
        <f>HYPERLINK("http://www.sah.co.rs/mdr-20-12.html?___store=serbian"," Pogledajte proizvod na sajtu -&gt;")</f>
        <v> Pogledajte proizvod na sajtu -&gt;</v>
      </c>
    </row>
    <row r="7" spans="1:6" ht="12.75">
      <c r="A7" s="2">
        <v>6</v>
      </c>
      <c r="B7" t="s">
        <v>1280</v>
      </c>
      <c r="C7" t="s">
        <v>1281</v>
      </c>
      <c r="D7" s="2">
        <v>43</v>
      </c>
      <c r="E7" s="2">
        <v>18</v>
      </c>
      <c r="F7" s="3" t="str">
        <f>HYPERLINK("http://www.sah.co.rs/bsr-25-12.html?___store=serbian"," Pogledajte proizvod na sajtu -&gt;")</f>
        <v> Pogledajte proizvod na sajtu -&gt;</v>
      </c>
    </row>
    <row r="8" spans="1:6" ht="12.75">
      <c r="A8" s="2">
        <v>7</v>
      </c>
      <c r="B8" t="s">
        <v>1282</v>
      </c>
      <c r="C8" t="s">
        <v>1283</v>
      </c>
      <c r="D8" s="2">
        <v>20</v>
      </c>
      <c r="E8" s="2">
        <v>22</v>
      </c>
      <c r="F8" s="3" t="str">
        <f>HYPERLINK("http://www.sah.co.rs/mdr-40-12.html?___store=serbian"," Pogledajte proizvod na sajtu -&gt;")</f>
        <v> Pogledajte proizvod na sajtu -&gt;</v>
      </c>
    </row>
    <row r="9" spans="1:6" ht="12.75">
      <c r="A9" s="2">
        <v>8</v>
      </c>
      <c r="B9" t="s">
        <v>1284</v>
      </c>
      <c r="C9" t="s">
        <v>1285</v>
      </c>
      <c r="D9" s="2">
        <v>19</v>
      </c>
      <c r="E9" s="2">
        <v>25</v>
      </c>
      <c r="F9" s="3" t="str">
        <f>HYPERLINK("http://www.sah.co.rs/mdr-60-12.html?___store=serbian"," Pogledajte proizvod na sajtu -&gt;")</f>
        <v> Pogledajte proizvod na sajtu -&gt;</v>
      </c>
    </row>
    <row r="10" spans="1:6" ht="12.75">
      <c r="A10" s="2">
        <v>9</v>
      </c>
      <c r="B10" t="s">
        <v>1286</v>
      </c>
      <c r="C10" t="s">
        <v>1287</v>
      </c>
      <c r="D10" s="2">
        <v>88</v>
      </c>
      <c r="E10" s="2">
        <v>60</v>
      </c>
      <c r="F10" s="3" t="str">
        <f>HYPERLINK("http://www.sah.co.rs/drl-24v120w1as.html?___store=serbian"," Pogledajte proizvod na sajtu -&gt;")</f>
        <v> Pogledajte proizvod na sajtu -&gt;</v>
      </c>
    </row>
    <row r="11" spans="1:6" ht="12.75">
      <c r="A11" s="2">
        <v>10</v>
      </c>
      <c r="B11" t="s">
        <v>1288</v>
      </c>
      <c r="C11" t="s">
        <v>1287</v>
      </c>
      <c r="D11" s="2">
        <v>53</v>
      </c>
      <c r="E11" s="2">
        <v>35</v>
      </c>
      <c r="F11" s="3" t="str">
        <f>HYPERLINK("http://www.sah.co.rs/edr-120-24.html?___store=serbian"," Pogledajte proizvod na sajtu -&gt;")</f>
        <v> Pogledajte proizvod na sajtu -&gt;</v>
      </c>
    </row>
    <row r="12" spans="1:6" ht="12.75">
      <c r="A12" s="2">
        <v>11</v>
      </c>
      <c r="B12" t="s">
        <v>1289</v>
      </c>
      <c r="C12" t="s">
        <v>1290</v>
      </c>
      <c r="D12" s="2">
        <v>100</v>
      </c>
      <c r="E12" s="2">
        <v>18</v>
      </c>
      <c r="F12" s="3" t="str">
        <f>HYPERLINK("http://www.sah.co.rs/mdr-20-24.html?___store=serbian"," Pogledajte proizvod na sajtu -&gt;")</f>
        <v> Pogledajte proizvod na sajtu -&gt;</v>
      </c>
    </row>
    <row r="13" spans="1:6" ht="12.75">
      <c r="A13" s="2">
        <v>12</v>
      </c>
      <c r="B13" t="s">
        <v>1291</v>
      </c>
      <c r="C13" t="s">
        <v>1292</v>
      </c>
      <c r="D13" s="2">
        <v>36</v>
      </c>
      <c r="E13" s="2">
        <v>90</v>
      </c>
      <c r="F13" s="3" t="str">
        <f>HYPERLINK("http://www.sah.co.rs/dr-240-24.html?___store=serbian"," Pogledajte proizvod na sajtu -&gt;")</f>
        <v> Pogledajte proizvod na sajtu -&gt;</v>
      </c>
    </row>
    <row r="14" spans="1:6" ht="12.75">
      <c r="A14" s="2">
        <v>13</v>
      </c>
      <c r="B14" t="s">
        <v>1293</v>
      </c>
      <c r="C14" t="s">
        <v>1294</v>
      </c>
      <c r="D14" s="2">
        <v>67</v>
      </c>
      <c r="E14" s="2">
        <v>18</v>
      </c>
      <c r="F14" s="3" t="str">
        <f>HYPERLINK("http://www.sah.co.rs/bsr-25-24.html?___store=serbian"," Pogledajte proizvod na sajtu -&gt;")</f>
        <v> Pogledajte proizvod na sajtu -&gt;</v>
      </c>
    </row>
    <row r="15" spans="1:6" ht="12.75">
      <c r="A15" s="2">
        <v>14</v>
      </c>
      <c r="B15" t="s">
        <v>1295</v>
      </c>
      <c r="C15" t="s">
        <v>1296</v>
      </c>
      <c r="D15" s="2">
        <v>40</v>
      </c>
      <c r="E15" s="2">
        <v>20</v>
      </c>
      <c r="F15" s="3" t="str">
        <f>HYPERLINK("http://www.sah.co.rs/drc-24v30w1az.html?___store=serbian"," Pogledajte proizvod na sajtu -&gt;")</f>
        <v> Pogledajte proizvod na sajtu -&gt;</v>
      </c>
    </row>
    <row r="16" spans="1:6" ht="12.75">
      <c r="A16" s="2">
        <v>15</v>
      </c>
      <c r="B16" t="s">
        <v>1297</v>
      </c>
      <c r="C16" t="s">
        <v>1298</v>
      </c>
      <c r="D16" s="2">
        <v>112</v>
      </c>
      <c r="E16" s="2">
        <v>22</v>
      </c>
      <c r="F16" s="3" t="str">
        <f>HYPERLINK("http://www.sah.co.rs/mdr-40-24.html?___store=serbian"," Pogledajte proizvod na sajtu -&gt;")</f>
        <v> Pogledajte proizvod na sajtu -&gt;</v>
      </c>
    </row>
    <row r="17" spans="1:6" ht="12.75">
      <c r="A17" s="2">
        <v>16</v>
      </c>
      <c r="B17" t="s">
        <v>1299</v>
      </c>
      <c r="C17" t="s">
        <v>1300</v>
      </c>
      <c r="D17" s="2">
        <v>5</v>
      </c>
      <c r="E17" s="2">
        <v>135</v>
      </c>
      <c r="F17" s="3" t="str">
        <f>HYPERLINK("http://www.sah.co.rs/drp-024v480w1aa.html?___store=serbian"," Pogledajte proizvod na sajtu -&gt;")</f>
        <v> Pogledajte proizvod na sajtu -&gt;</v>
      </c>
    </row>
    <row r="18" spans="1:6" ht="12.75">
      <c r="A18" s="2">
        <v>17</v>
      </c>
      <c r="B18" t="s">
        <v>1301</v>
      </c>
      <c r="C18" t="s">
        <v>1302</v>
      </c>
      <c r="D18" s="2">
        <v>30</v>
      </c>
      <c r="E18" s="2">
        <v>24</v>
      </c>
      <c r="F18" s="3" t="str">
        <f>HYPERLINK("http://www.sah.co.rs/hdr-60-24.html?___store=serbian"," Pogledajte proizvod na sajtu -&gt;")</f>
        <v> Pogledajte proizvod na sajtu -&gt;</v>
      </c>
    </row>
    <row r="19" spans="1:6" ht="12.75">
      <c r="A19" s="2">
        <v>18</v>
      </c>
      <c r="B19" t="s">
        <v>1303</v>
      </c>
      <c r="C19" t="s">
        <v>1302</v>
      </c>
      <c r="D19" s="2">
        <v>178</v>
      </c>
      <c r="E19" s="2">
        <v>28</v>
      </c>
      <c r="F19" s="3" t="str">
        <f>HYPERLINK("http://www.sah.co.rs/drc-24v60w1az.html?___store=serbian"," Pogledajte proizvod na sajtu -&gt;")</f>
        <v> Pogledajte proizvod na sajtu -&gt;</v>
      </c>
    </row>
    <row r="20" spans="1:6" ht="12.75">
      <c r="A20" s="2">
        <v>19</v>
      </c>
      <c r="B20" t="s">
        <v>1304</v>
      </c>
      <c r="C20" t="s">
        <v>1305</v>
      </c>
      <c r="D20" s="2">
        <v>42</v>
      </c>
      <c r="E20" s="2">
        <v>25</v>
      </c>
      <c r="F20" s="3" t="str">
        <f>HYPERLINK("http://www.sah.co.rs/mdr-60-24.html?___store=serbian"," Pogledajte proizvod na sajtu -&gt;")</f>
        <v> Pogledajte proizvod na sajtu -&gt;</v>
      </c>
    </row>
    <row r="21" spans="1:6" ht="12.75">
      <c r="A21" s="2">
        <v>20</v>
      </c>
      <c r="B21" t="s">
        <v>1306</v>
      </c>
      <c r="C21" t="s">
        <v>1307</v>
      </c>
      <c r="D21" s="2">
        <v>6</v>
      </c>
      <c r="E21" s="2">
        <v>18</v>
      </c>
      <c r="F21" s="3" t="str">
        <f>HYPERLINK("http://www.sah.co.rs/bsr-25-5.html?___store=serbian"," Pogledajte proizvod na sajtu -&gt;")</f>
        <v> Pogledajte proizvod na sajtu -&gt;</v>
      </c>
    </row>
    <row r="22" spans="1:6" ht="12.75">
      <c r="A22" s="2">
        <v>21</v>
      </c>
      <c r="B22" t="s">
        <v>1308</v>
      </c>
      <c r="C22" t="s">
        <v>1309</v>
      </c>
      <c r="D22" s="2">
        <v>49</v>
      </c>
      <c r="E22" s="2">
        <v>45</v>
      </c>
      <c r="F22" s="3" t="str">
        <f>HYPERLINK("http://www.sah.co.rs/s-360-0-12.html?___store=serbian"," Pogledajte proizvod na sajtu -&gt;")</f>
        <v> Pogledajte proizvod na sajtu -&gt;</v>
      </c>
    </row>
    <row r="23" spans="1:6" ht="12.75">
      <c r="A23" s="2">
        <v>22</v>
      </c>
      <c r="B23" t="s">
        <v>1310</v>
      </c>
      <c r="C23" t="s">
        <v>1311</v>
      </c>
      <c r="D23" s="2">
        <v>57</v>
      </c>
      <c r="E23" s="2">
        <v>45</v>
      </c>
      <c r="F23" s="3" t="str">
        <f>HYPERLINK("http://www.sah.co.rs/s-400-0-24.html?___store=serbian"," Pogledajte proizvod na sajtu -&gt;")</f>
        <v> Pogledajte proizvod na sajtu -&gt;</v>
      </c>
    </row>
    <row r="24" spans="1:6" ht="12.75">
      <c r="A24" s="2">
        <v>23</v>
      </c>
      <c r="B24" t="s">
        <v>1312</v>
      </c>
      <c r="C24" t="s">
        <v>1313</v>
      </c>
      <c r="D24" s="2">
        <v>22</v>
      </c>
      <c r="E24" s="2">
        <v>45</v>
      </c>
      <c r="F24" s="3" t="str">
        <f>HYPERLINK("http://www.sah.co.rs/s-360-0-48.html?___store=serbian"," Pogledajte proizvod na sajtu -&gt;")</f>
        <v> Pogledajte proizvod na sajtu -&gt;</v>
      </c>
    </row>
    <row r="25" spans="1:6" ht="12.75">
      <c r="A25" s="2">
        <v>24</v>
      </c>
      <c r="B25" t="s">
        <v>1314</v>
      </c>
      <c r="C25" t="s">
        <v>1315</v>
      </c>
      <c r="D25" s="2">
        <v>7</v>
      </c>
      <c r="E25" s="2">
        <v>10</v>
      </c>
      <c r="F25" s="3" t="str">
        <f>HYPERLINK("http://www.sah.co.rs/s-s-10-12.html?___store=serbian"," Pogledajte proizvod na sajtu -&gt;")</f>
        <v> Pogledajte proizvod na sajtu -&gt;</v>
      </c>
    </row>
    <row r="26" spans="1:6" ht="12.75">
      <c r="A26" s="2">
        <v>25</v>
      </c>
      <c r="B26" t="s">
        <v>1316</v>
      </c>
      <c r="C26" t="s">
        <v>1315</v>
      </c>
      <c r="D26" s="2">
        <v>52</v>
      </c>
      <c r="E26" s="2">
        <v>10</v>
      </c>
      <c r="F26" s="3" t="str">
        <f>HYPERLINK("http://www.sah.co.rs/s-10-12.html?___store=serbian"," Pogledajte proizvod na sajtu -&gt;")</f>
        <v> Pogledajte proizvod na sajtu -&gt;</v>
      </c>
    </row>
    <row r="27" spans="1:6" ht="12.75">
      <c r="A27" s="2">
        <v>26</v>
      </c>
      <c r="B27" t="s">
        <v>1317</v>
      </c>
      <c r="C27" t="s">
        <v>1318</v>
      </c>
      <c r="D27" s="2">
        <v>395</v>
      </c>
      <c r="E27" s="2">
        <v>20</v>
      </c>
      <c r="F27" s="3" t="str">
        <f>HYPERLINK("http://www.sah.co.rs/s-120-12.html?___store=serbian"," Pogledajte proizvod na sajtu -&gt;")</f>
        <v> Pogledajte proizvod na sajtu -&gt;</v>
      </c>
    </row>
    <row r="28" spans="1:6" ht="12.75">
      <c r="A28" s="2">
        <v>27</v>
      </c>
      <c r="B28" t="s">
        <v>1319</v>
      </c>
      <c r="C28" t="s">
        <v>1320</v>
      </c>
      <c r="D28" s="2">
        <v>134</v>
      </c>
      <c r="E28" s="2">
        <v>22</v>
      </c>
      <c r="F28" s="3" t="str">
        <f>HYPERLINK("http://www.sah.co.rs/s-145-12.html?___store=serbian"," Pogledajte proizvod na sajtu -&gt;")</f>
        <v> Pogledajte proizvod na sajtu -&gt;</v>
      </c>
    </row>
    <row r="29" spans="1:6" ht="12.75">
      <c r="A29" s="2">
        <v>28</v>
      </c>
      <c r="B29" t="s">
        <v>1321</v>
      </c>
      <c r="C29" t="s">
        <v>1322</v>
      </c>
      <c r="D29" s="2">
        <v>34</v>
      </c>
      <c r="E29" s="2">
        <v>11</v>
      </c>
      <c r="F29" s="3" t="str">
        <f>HYPERLINK("http://www.sah.co.rs/s-15-12.html?___store=serbian"," Pogledajte proizvod na sajtu -&gt;")</f>
        <v> Pogledajte proizvod na sajtu -&gt;</v>
      </c>
    </row>
    <row r="30" spans="1:6" ht="12.75">
      <c r="A30" s="2">
        <v>29</v>
      </c>
      <c r="B30" t="s">
        <v>1323</v>
      </c>
      <c r="C30" t="s">
        <v>1324</v>
      </c>
      <c r="D30" s="2">
        <v>103</v>
      </c>
      <c r="E30" s="2">
        <v>30</v>
      </c>
      <c r="F30" s="3" t="str">
        <f>HYPERLINK("http://www.sah.co.rs/s-200-12.html?___store=serbian"," Pogledajte proizvod na sajtu -&gt;")</f>
        <v> Pogledajte proizvod na sajtu -&gt;</v>
      </c>
    </row>
    <row r="31" spans="1:6" ht="12.75">
      <c r="A31" s="2">
        <v>30</v>
      </c>
      <c r="B31" t="s">
        <v>1325</v>
      </c>
      <c r="C31" t="s">
        <v>1326</v>
      </c>
      <c r="D31" s="2">
        <v>68</v>
      </c>
      <c r="E31" s="2">
        <v>36</v>
      </c>
      <c r="F31" s="3" t="str">
        <f>HYPERLINK("http://www.sah.co.rs/s-240-12.html?___store=serbian"," Pogledajte proizvod na sajtu -&gt;")</f>
        <v> Pogledajte proizvod na sajtu -&gt;</v>
      </c>
    </row>
    <row r="32" spans="1:6" ht="12.75">
      <c r="A32" s="2">
        <v>31</v>
      </c>
      <c r="B32" t="s">
        <v>1327</v>
      </c>
      <c r="C32" t="s">
        <v>1328</v>
      </c>
      <c r="D32" s="2">
        <v>319</v>
      </c>
      <c r="E32" s="2">
        <v>12.5</v>
      </c>
      <c r="F32" s="3" t="str">
        <f>HYPERLINK("http://www.sah.co.rs/s-25-12.html?___store=serbian"," Pogledajte proizvod na sajtu -&gt;")</f>
        <v> Pogledajte proizvod na sajtu -&gt;</v>
      </c>
    </row>
    <row r="33" spans="1:6" ht="12.75">
      <c r="A33" s="2">
        <v>32</v>
      </c>
      <c r="B33" t="s">
        <v>1329</v>
      </c>
      <c r="C33" t="s">
        <v>1330</v>
      </c>
      <c r="D33" s="2">
        <v>33</v>
      </c>
      <c r="E33" s="2">
        <v>45</v>
      </c>
      <c r="F33" s="3" t="str">
        <f>HYPERLINK("http://www.sah.co.rs/s-320-12.html?___store=serbian"," Pogledajte proizvod na sajtu -&gt;")</f>
        <v> Pogledajte proizvod na sajtu -&gt;</v>
      </c>
    </row>
    <row r="34" spans="1:6" ht="12.75">
      <c r="A34" s="2">
        <v>33</v>
      </c>
      <c r="B34" t="s">
        <v>1331</v>
      </c>
      <c r="C34" t="s">
        <v>1332</v>
      </c>
      <c r="D34" s="2">
        <v>10</v>
      </c>
      <c r="E34" s="2">
        <v>30</v>
      </c>
      <c r="F34" s="3" t="str">
        <f>HYPERLINK("http://www.sah.co.rs/s-360-12.html?___store=serbian"," Pogledajte proizvod na sajtu -&gt;")</f>
        <v> Pogledajte proizvod na sajtu -&gt;</v>
      </c>
    </row>
    <row r="35" spans="1:6" ht="12.75">
      <c r="A35" s="2">
        <v>34</v>
      </c>
      <c r="B35" t="s">
        <v>1333</v>
      </c>
      <c r="C35" t="s">
        <v>1334</v>
      </c>
      <c r="D35" s="2">
        <v>70</v>
      </c>
      <c r="E35" s="2">
        <v>50</v>
      </c>
      <c r="F35" s="3" t="str">
        <f>HYPERLINK("http://www.sah.co.rs/s-400-12.html?___store=serbian"," Pogledajte proizvod na sajtu -&gt;")</f>
        <v> Pogledajte proizvod na sajtu -&gt;</v>
      </c>
    </row>
    <row r="36" spans="1:6" ht="12.75">
      <c r="A36" s="2">
        <v>35</v>
      </c>
      <c r="B36" t="s">
        <v>1335</v>
      </c>
      <c r="C36" t="s">
        <v>1336</v>
      </c>
      <c r="D36" s="2">
        <v>38</v>
      </c>
      <c r="E36" s="2">
        <v>70</v>
      </c>
      <c r="F36" s="3" t="str">
        <f>HYPERLINK("http://www.sah.co.rs/s-500-12.html?___store=serbian"," Pogledajte proizvod na sajtu -&gt;")</f>
        <v> Pogledajte proizvod na sajtu -&gt;</v>
      </c>
    </row>
    <row r="37" spans="1:6" ht="12.75">
      <c r="A37" s="2">
        <v>36</v>
      </c>
      <c r="B37" t="s">
        <v>1337</v>
      </c>
      <c r="C37" t="s">
        <v>1336</v>
      </c>
      <c r="D37" s="2">
        <v>25</v>
      </c>
      <c r="E37" s="2">
        <v>100</v>
      </c>
      <c r="F37" s="3" t="str">
        <f>HYPERLINK("http://www.sah.co.rs/sp-500-12.html?___store=serbian"," Pogledajte proizvod na sajtu -&gt;")</f>
        <v> Pogledajte proizvod na sajtu -&gt;</v>
      </c>
    </row>
    <row r="38" spans="1:6" ht="12.75">
      <c r="A38" s="2">
        <v>37</v>
      </c>
      <c r="B38" t="s">
        <v>1338</v>
      </c>
      <c r="C38" t="s">
        <v>1339</v>
      </c>
      <c r="D38" s="2">
        <v>69</v>
      </c>
      <c r="E38" s="2">
        <v>30</v>
      </c>
      <c r="F38" s="3" t="str">
        <f>HYPERLINK("http://www.sah.co.rs/s-600-12.html?___store=serbian"," Pogledajte proizvod na sajtu -&gt;")</f>
        <v> Pogledajte proizvod na sajtu -&gt;</v>
      </c>
    </row>
    <row r="39" spans="1:6" ht="12.75">
      <c r="A39" s="2">
        <v>38</v>
      </c>
      <c r="B39" t="s">
        <v>1340</v>
      </c>
      <c r="C39" t="s">
        <v>1341</v>
      </c>
      <c r="D39" s="2">
        <v>77</v>
      </c>
      <c r="E39" s="2">
        <v>17</v>
      </c>
      <c r="F39" s="3" t="str">
        <f>HYPERLINK("http://www.sah.co.rs/s-60-12.html?___store=serbian"," Pogledajte proizvod na sajtu -&gt;")</f>
        <v> Pogledajte proizvod na sajtu -&gt;</v>
      </c>
    </row>
    <row r="40" spans="1:6" ht="12.75">
      <c r="A40" s="2">
        <v>39</v>
      </c>
      <c r="B40" t="s">
        <v>1342</v>
      </c>
      <c r="C40" t="s">
        <v>1343</v>
      </c>
      <c r="D40" s="2">
        <v>23</v>
      </c>
      <c r="E40" s="2">
        <v>20</v>
      </c>
      <c r="F40" s="3" t="str">
        <f>HYPERLINK("http://www.sah.co.rs/s-120-15.html?___store=serbian"," Pogledajte proizvod na sajtu -&gt;")</f>
        <v> Pogledajte proizvod na sajtu -&gt;</v>
      </c>
    </row>
    <row r="41" spans="1:6" ht="12.75">
      <c r="A41" s="2">
        <v>40</v>
      </c>
      <c r="B41" t="s">
        <v>1344</v>
      </c>
      <c r="C41" t="s">
        <v>1345</v>
      </c>
      <c r="D41" s="2">
        <v>0</v>
      </c>
      <c r="E41" s="2">
        <v>17</v>
      </c>
      <c r="F41" s="3" t="str">
        <f>HYPERLINK("http://www.sah.co.rs/s-60-15.html?___store=serbian"," Pogledajte proizvod na sajtu -&gt;")</f>
        <v> Pogledajte proizvod na sajtu -&gt;</v>
      </c>
    </row>
    <row r="42" spans="1:6" ht="12.75">
      <c r="A42" s="2">
        <v>41</v>
      </c>
      <c r="B42" t="s">
        <v>1346</v>
      </c>
      <c r="C42" t="s">
        <v>1347</v>
      </c>
      <c r="D42" s="2">
        <v>1</v>
      </c>
      <c r="E42" s="2">
        <v>10</v>
      </c>
      <c r="F42" s="3" t="str">
        <f>HYPERLINK("http://www.sah.co.rs/s-10-24.html?___store=serbian"," Pogledajte proizvod na sajtu -&gt;")</f>
        <v> Pogledajte proizvod na sajtu -&gt;</v>
      </c>
    </row>
    <row r="43" spans="1:6" ht="12.75">
      <c r="A43" s="2">
        <v>42</v>
      </c>
      <c r="B43" t="s">
        <v>1348</v>
      </c>
      <c r="C43" t="s">
        <v>1347</v>
      </c>
      <c r="D43" s="2">
        <v>13</v>
      </c>
      <c r="E43" s="2">
        <v>10</v>
      </c>
      <c r="F43" s="3" t="str">
        <f>HYPERLINK("http://www.sah.co.rs/s-s-10-24.html?___store=serbian"," Pogledajte proizvod na sajtu -&gt;")</f>
        <v> Pogledajte proizvod na sajtu -&gt;</v>
      </c>
    </row>
    <row r="44" spans="1:6" ht="12.75">
      <c r="A44" s="2">
        <v>43</v>
      </c>
      <c r="B44" t="s">
        <v>1349</v>
      </c>
      <c r="C44" t="s">
        <v>1350</v>
      </c>
      <c r="D44" s="2">
        <v>232</v>
      </c>
      <c r="E44" s="2">
        <v>20</v>
      </c>
      <c r="F44" s="3" t="str">
        <f>HYPERLINK("http://www.sah.co.rs/s-120-24.html?___store=serbian"," Pogledajte proizvod na sajtu -&gt;")</f>
        <v> Pogledajte proizvod na sajtu -&gt;</v>
      </c>
    </row>
    <row r="45" spans="1:6" ht="12.75">
      <c r="A45" s="2">
        <v>44</v>
      </c>
      <c r="B45" t="s">
        <v>1351</v>
      </c>
      <c r="C45" t="s">
        <v>1352</v>
      </c>
      <c r="D45" s="2">
        <v>66</v>
      </c>
      <c r="E45" s="2">
        <v>22</v>
      </c>
      <c r="F45" s="3" t="str">
        <f>HYPERLINK("http://www.sah.co.rs/s-145-24.html?___store=serbian"," Pogledajte proizvod na sajtu -&gt;")</f>
        <v> Pogledajte proizvod na sajtu -&gt;</v>
      </c>
    </row>
    <row r="46" spans="1:6" ht="12.75">
      <c r="A46" s="2">
        <v>45</v>
      </c>
      <c r="B46" t="s">
        <v>1353</v>
      </c>
      <c r="C46" t="s">
        <v>1354</v>
      </c>
      <c r="D46" s="2">
        <v>189</v>
      </c>
      <c r="E46" s="2">
        <v>11</v>
      </c>
      <c r="F46" s="3" t="str">
        <f>HYPERLINK("http://www.sah.co.rs/s-15-24.html?___store=serbian"," Pogledajte proizvod na sajtu -&gt;")</f>
        <v> Pogledajte proizvod na sajtu -&gt;</v>
      </c>
    </row>
    <row r="47" spans="1:6" ht="12.75">
      <c r="A47" s="2">
        <v>46</v>
      </c>
      <c r="B47" t="s">
        <v>1355</v>
      </c>
      <c r="C47" t="s">
        <v>1356</v>
      </c>
      <c r="D47" s="2">
        <v>117</v>
      </c>
      <c r="E47" s="2">
        <v>30</v>
      </c>
      <c r="F47" s="3" t="str">
        <f>HYPERLINK("http://www.sah.co.rs/s-200-24.html?___store=serbian"," Pogledajte proizvod na sajtu -&gt;")</f>
        <v> Pogledajte proizvod na sajtu -&gt;</v>
      </c>
    </row>
    <row r="48" spans="1:6" ht="12.75">
      <c r="A48" s="2">
        <v>47</v>
      </c>
      <c r="B48" t="s">
        <v>1357</v>
      </c>
      <c r="C48" t="s">
        <v>1358</v>
      </c>
      <c r="D48" s="2">
        <v>76</v>
      </c>
      <c r="E48" s="2">
        <v>36</v>
      </c>
      <c r="F48" s="3" t="str">
        <f>HYPERLINK("http://www.sah.co.rs/s-240-24.html?___store=serbian"," Pogledajte proizvod na sajtu -&gt;")</f>
        <v> Pogledajte proizvod na sajtu -&gt;</v>
      </c>
    </row>
    <row r="49" spans="1:6" ht="12.75">
      <c r="A49" s="2">
        <v>48</v>
      </c>
      <c r="B49" t="s">
        <v>1359</v>
      </c>
      <c r="C49" t="s">
        <v>1360</v>
      </c>
      <c r="D49" s="2">
        <v>234</v>
      </c>
      <c r="E49" s="2">
        <v>12.5</v>
      </c>
      <c r="F49" s="3" t="str">
        <f>HYPERLINK("http://www.sah.co.rs/s-25-24.html?___store=serbian"," Pogledajte proizvod na sajtu -&gt;")</f>
        <v> Pogledajte proizvod na sajtu -&gt;</v>
      </c>
    </row>
    <row r="50" spans="1:6" ht="12.75">
      <c r="A50" s="2">
        <v>49</v>
      </c>
      <c r="B50" t="s">
        <v>1361</v>
      </c>
      <c r="C50" t="s">
        <v>1362</v>
      </c>
      <c r="D50" s="2">
        <v>4</v>
      </c>
      <c r="E50" s="2">
        <v>45</v>
      </c>
      <c r="F50" s="3" t="str">
        <f>HYPERLINK("http://www.sah.co.rs/s-320-24.html?___store=serbian"," Pogledajte proizvod na sajtu -&gt;")</f>
        <v> Pogledajte proizvod na sajtu -&gt;</v>
      </c>
    </row>
    <row r="51" spans="1:6" ht="12.75">
      <c r="A51" s="2">
        <v>50</v>
      </c>
      <c r="B51" t="s">
        <v>1363</v>
      </c>
      <c r="C51" t="s">
        <v>1364</v>
      </c>
      <c r="D51" s="2">
        <v>61</v>
      </c>
      <c r="E51" s="2">
        <v>22</v>
      </c>
      <c r="F51" s="3" t="str">
        <f>HYPERLINK("http://www.sah.co.rs/s-360-24.html?___store=serbian"," Pogledajte proizvod na sajtu -&gt;")</f>
        <v> Pogledajte proizvod na sajtu -&gt;</v>
      </c>
    </row>
    <row r="52" spans="1:6" ht="12.75">
      <c r="A52" s="2">
        <v>51</v>
      </c>
      <c r="B52" t="s">
        <v>1365</v>
      </c>
      <c r="C52" t="s">
        <v>1366</v>
      </c>
      <c r="D52" s="2">
        <v>35</v>
      </c>
      <c r="E52" s="2">
        <v>50</v>
      </c>
      <c r="F52" s="3" t="str">
        <f>HYPERLINK("http://www.sah.co.rs/s-400-24.html?___store=serbian"," Pogledajte proizvod na sajtu -&gt;")</f>
        <v> Pogledajte proizvod na sajtu -&gt;</v>
      </c>
    </row>
    <row r="53" spans="1:6" ht="12.75">
      <c r="A53" s="2">
        <v>52</v>
      </c>
      <c r="B53" t="s">
        <v>1367</v>
      </c>
      <c r="C53" t="s">
        <v>1368</v>
      </c>
      <c r="D53" s="2">
        <v>18</v>
      </c>
      <c r="E53" s="2">
        <v>100</v>
      </c>
      <c r="F53" s="3" t="str">
        <f>HYPERLINK("http://www.sah.co.rs/sp-500-24.html?___store=serbian"," Pogledajte proizvod na sajtu -&gt;")</f>
        <v> Pogledajte proizvod na sajtu -&gt;</v>
      </c>
    </row>
    <row r="54" spans="1:6" ht="12.75">
      <c r="A54" s="2">
        <v>53</v>
      </c>
      <c r="B54" t="s">
        <v>1369</v>
      </c>
      <c r="C54" t="s">
        <v>1368</v>
      </c>
      <c r="D54" s="2">
        <v>5</v>
      </c>
      <c r="E54" s="2">
        <v>70</v>
      </c>
      <c r="F54" s="3" t="str">
        <f>HYPERLINK("http://www.sah.co.rs/s-500-24.html?___store=serbian"," Pogledajte proizvod na sajtu -&gt;")</f>
        <v> Pogledajte proizvod na sajtu -&gt;</v>
      </c>
    </row>
    <row r="55" spans="1:6" ht="12.75">
      <c r="A55" s="2">
        <v>54</v>
      </c>
      <c r="B55" t="s">
        <v>1370</v>
      </c>
      <c r="C55" t="s">
        <v>1371</v>
      </c>
      <c r="D55" s="2">
        <v>192</v>
      </c>
      <c r="E55" s="2">
        <v>16</v>
      </c>
      <c r="F55" s="3" t="str">
        <f>HYPERLINK("http://www.sah.co.rs/s-50-24.html?___store=serbian"," Pogledajte proizvod na sajtu -&gt;")</f>
        <v> Pogledajte proizvod na sajtu -&gt;</v>
      </c>
    </row>
    <row r="56" spans="1:6" ht="12.75">
      <c r="A56" s="2">
        <v>55</v>
      </c>
      <c r="B56" t="s">
        <v>1372</v>
      </c>
      <c r="C56" t="s">
        <v>1373</v>
      </c>
      <c r="D56" s="2">
        <v>60</v>
      </c>
      <c r="E56" s="2">
        <v>30</v>
      </c>
      <c r="F56" s="3" t="str">
        <f>HYPERLINK("http://www.sah.co.rs/s-600-24.html?___store=serbian"," Pogledajte proizvod na sajtu -&gt;")</f>
        <v> Pogledajte proizvod na sajtu -&gt;</v>
      </c>
    </row>
    <row r="57" spans="1:6" ht="12.75">
      <c r="A57" s="2">
        <v>56</v>
      </c>
      <c r="B57" t="s">
        <v>1374</v>
      </c>
      <c r="C57" t="s">
        <v>1375</v>
      </c>
      <c r="D57" s="2">
        <v>120</v>
      </c>
      <c r="E57" s="2">
        <v>12</v>
      </c>
      <c r="F57" s="3" t="str">
        <f>HYPERLINK("http://www.sah.co.rs/s-60-24.html?___store=serbian"," Pogledajte proizvod na sajtu -&gt;")</f>
        <v> Pogledajte proizvod na sajtu -&gt;</v>
      </c>
    </row>
    <row r="58" spans="1:6" ht="12.75">
      <c r="A58" s="2">
        <v>57</v>
      </c>
      <c r="B58" t="s">
        <v>1376</v>
      </c>
      <c r="C58" t="s">
        <v>1377</v>
      </c>
      <c r="D58" s="2">
        <v>148</v>
      </c>
      <c r="E58" s="2">
        <v>18</v>
      </c>
      <c r="F58" s="3" t="str">
        <f>HYPERLINK("http://www.sah.co.rs/s-75-24.html?___store=serbian"," Pogledajte proizvod na sajtu -&gt;")</f>
        <v> Pogledajte proizvod na sajtu -&gt;</v>
      </c>
    </row>
    <row r="59" spans="1:6" ht="12.75">
      <c r="A59" s="2">
        <v>58</v>
      </c>
      <c r="B59" t="s">
        <v>1378</v>
      </c>
      <c r="C59" t="s">
        <v>1379</v>
      </c>
      <c r="D59" s="2">
        <v>0</v>
      </c>
      <c r="E59" s="2">
        <v>20</v>
      </c>
      <c r="F59" s="3" t="str">
        <f>HYPERLINK("http://www.sah.co.rs/s-120-48.html?___store=serbian"," Pogledajte proizvod na sajtu -&gt;")</f>
        <v> Pogledajte proizvod na sajtu -&gt;</v>
      </c>
    </row>
    <row r="60" spans="1:6" ht="12.75">
      <c r="A60" s="2">
        <v>59</v>
      </c>
      <c r="B60" t="s">
        <v>1380</v>
      </c>
      <c r="C60" t="s">
        <v>1381</v>
      </c>
      <c r="D60" s="2">
        <v>0</v>
      </c>
      <c r="E60" s="2">
        <v>22</v>
      </c>
      <c r="F60" s="3" t="str">
        <f>HYPERLINK("http://www.sah.co.rs/s-145-48.html?___store=serbian"," Pogledajte proizvod na sajtu -&gt;")</f>
        <v> Pogledajte proizvod na sajtu -&gt;</v>
      </c>
    </row>
    <row r="61" spans="1:6" ht="12.75">
      <c r="A61" s="2">
        <v>60</v>
      </c>
      <c r="B61" t="s">
        <v>1382</v>
      </c>
      <c r="C61" t="s">
        <v>1383</v>
      </c>
      <c r="D61" s="2">
        <v>48</v>
      </c>
      <c r="E61" s="2">
        <v>17</v>
      </c>
      <c r="F61" s="3" t="str">
        <f>HYPERLINK("http://www.sah.co.rs/s-150-48.html?___store=serbian"," Pogledajte proizvod na sajtu -&gt;")</f>
        <v> Pogledajte proizvod na sajtu -&gt;</v>
      </c>
    </row>
    <row r="62" spans="1:6" ht="12.75">
      <c r="A62" s="2">
        <v>61</v>
      </c>
      <c r="B62" t="s">
        <v>1384</v>
      </c>
      <c r="C62" t="s">
        <v>1385</v>
      </c>
      <c r="D62" s="2">
        <v>64</v>
      </c>
      <c r="E62" s="2">
        <v>36</v>
      </c>
      <c r="F62" s="3" t="str">
        <f>HYPERLINK("http://www.sah.co.rs/s-240-48.html?___store=serbian"," Pogledajte proizvod na sajtu -&gt;")</f>
        <v> Pogledajte proizvod na sajtu -&gt;</v>
      </c>
    </row>
    <row r="63" spans="1:6" ht="12.75">
      <c r="A63" s="2">
        <v>62</v>
      </c>
      <c r="B63" t="s">
        <v>1386</v>
      </c>
      <c r="C63" t="s">
        <v>1387</v>
      </c>
      <c r="D63" s="2">
        <v>3</v>
      </c>
      <c r="E63" s="2">
        <v>45</v>
      </c>
      <c r="F63" s="3" t="str">
        <f>HYPERLINK("http://www.sah.co.rs/s-320-48.html?___store=serbian"," Pogledajte proizvod na sajtu -&gt;")</f>
        <v> Pogledajte proizvod na sajtu -&gt;</v>
      </c>
    </row>
    <row r="64" spans="1:6" ht="12.75">
      <c r="A64" s="2">
        <v>63</v>
      </c>
      <c r="B64" t="s">
        <v>1388</v>
      </c>
      <c r="C64" t="s">
        <v>1389</v>
      </c>
      <c r="D64" s="2">
        <v>29</v>
      </c>
      <c r="E64" s="2">
        <v>30</v>
      </c>
      <c r="F64" s="3" t="str">
        <f>HYPERLINK("http://www.sah.co.rs/s-360-48.html?___store=serbian"," Pogledajte proizvod na sajtu -&gt;")</f>
        <v> Pogledajte proizvod na sajtu -&gt;</v>
      </c>
    </row>
    <row r="65" spans="1:6" ht="12.75">
      <c r="A65" s="2">
        <v>64</v>
      </c>
      <c r="B65" t="s">
        <v>1390</v>
      </c>
      <c r="C65" t="s">
        <v>1391</v>
      </c>
      <c r="D65" s="2">
        <v>30</v>
      </c>
      <c r="E65" s="2">
        <v>50</v>
      </c>
      <c r="F65" s="3" t="str">
        <f>HYPERLINK("http://www.sah.co.rs/s-400-48.html?___store=serbian"," Pogledajte proizvod na sajtu -&gt;")</f>
        <v> Pogledajte proizvod na sajtu -&gt;</v>
      </c>
    </row>
    <row r="66" spans="1:6" ht="12.75">
      <c r="A66" s="2">
        <v>65</v>
      </c>
      <c r="B66" t="s">
        <v>1392</v>
      </c>
      <c r="C66" t="s">
        <v>1393</v>
      </c>
      <c r="D66" s="2">
        <v>9</v>
      </c>
      <c r="E66" s="2">
        <v>100</v>
      </c>
      <c r="F66" s="3" t="str">
        <f>HYPERLINK("http://www.sah.co.rs/sp-500-48.html?___store=serbian"," Pogledajte proizvod na sajtu -&gt;")</f>
        <v> Pogledajte proizvod na sajtu -&gt;</v>
      </c>
    </row>
    <row r="67" spans="1:6" ht="12.75">
      <c r="A67" s="2">
        <v>66</v>
      </c>
      <c r="B67" t="s">
        <v>1394</v>
      </c>
      <c r="C67" t="s">
        <v>1393</v>
      </c>
      <c r="D67" s="2">
        <v>31</v>
      </c>
      <c r="E67" s="2">
        <v>70</v>
      </c>
      <c r="F67" s="3" t="str">
        <f>HYPERLINK("http://www.sah.co.rs/s-500-48.html?___store=serbian"," Pogledajte proizvod na sajtu -&gt;")</f>
        <v> Pogledajte proizvod na sajtu -&gt;</v>
      </c>
    </row>
    <row r="68" spans="1:6" ht="12.75">
      <c r="A68" s="2">
        <v>67</v>
      </c>
      <c r="B68" t="s">
        <v>1395</v>
      </c>
      <c r="C68" t="s">
        <v>1396</v>
      </c>
      <c r="D68" s="2">
        <v>58</v>
      </c>
      <c r="E68" s="2">
        <v>30</v>
      </c>
      <c r="F68" s="3" t="str">
        <f>HYPERLINK("http://www.sah.co.rs/s-600-48.html?___store=serbian"," Pogledajte proizvod na sajtu -&gt;")</f>
        <v> Pogledajte proizvod na sajtu -&gt;</v>
      </c>
    </row>
    <row r="69" spans="1:6" ht="12.75">
      <c r="A69" s="2">
        <v>68</v>
      </c>
      <c r="B69" t="s">
        <v>1397</v>
      </c>
      <c r="C69" t="s">
        <v>1398</v>
      </c>
      <c r="D69" s="2">
        <v>8</v>
      </c>
      <c r="E69" s="2">
        <v>17</v>
      </c>
      <c r="F69" s="3" t="str">
        <f>HYPERLINK("http://www.sah.co.rs/s-60-48.html?___store=serbian"," Pogledajte proizvod na sajtu -&gt;")</f>
        <v> Pogledajte proizvod na sajtu -&gt;</v>
      </c>
    </row>
    <row r="70" spans="1:6" ht="12.75">
      <c r="A70" s="2">
        <v>69</v>
      </c>
      <c r="B70" t="s">
        <v>1399</v>
      </c>
      <c r="C70" t="s">
        <v>1400</v>
      </c>
      <c r="D70" s="2">
        <v>61</v>
      </c>
      <c r="E70" s="2">
        <v>10</v>
      </c>
      <c r="F70" s="3" t="str">
        <f>HYPERLINK("http://www.sah.co.rs/s-10-5.html?___store=serbian"," Pogledajte proizvod na sajtu -&gt;")</f>
        <v> Pogledajte proizvod na sajtu -&gt;</v>
      </c>
    </row>
    <row r="71" spans="1:6" ht="12.75">
      <c r="A71" s="2">
        <v>70</v>
      </c>
      <c r="B71" t="s">
        <v>1401</v>
      </c>
      <c r="C71" t="s">
        <v>1400</v>
      </c>
      <c r="D71" s="2">
        <v>0</v>
      </c>
      <c r="E71" s="2">
        <v>10</v>
      </c>
      <c r="F71" s="3" t="str">
        <f>HYPERLINK("http://www.sah.co.rs/s-s-10-5.html?___store=serbian"," Pogledajte proizvod na sajtu -&gt;")</f>
        <v> Pogledajte proizvod na sajtu -&gt;</v>
      </c>
    </row>
    <row r="72" spans="1:6" ht="12.75">
      <c r="A72" s="2">
        <v>71</v>
      </c>
      <c r="B72" t="s">
        <v>1402</v>
      </c>
      <c r="C72" t="s">
        <v>1403</v>
      </c>
      <c r="D72" s="2">
        <v>55</v>
      </c>
      <c r="E72" s="2">
        <v>20</v>
      </c>
      <c r="F72" s="3" t="str">
        <f>HYPERLINK("http://www.sah.co.rs/s-120-5.html?___store=serbian"," Pogledajte proizvod na sajtu -&gt;")</f>
        <v> Pogledajte proizvod na sajtu -&gt;</v>
      </c>
    </row>
    <row r="73" spans="1:6" ht="12.75">
      <c r="A73" s="2">
        <v>72</v>
      </c>
      <c r="B73" t="s">
        <v>1404</v>
      </c>
      <c r="C73" t="s">
        <v>1405</v>
      </c>
      <c r="D73" s="2">
        <v>22</v>
      </c>
      <c r="E73" s="2">
        <v>11</v>
      </c>
      <c r="F73" s="3" t="str">
        <f>HYPERLINK("http://www.sah.co.rs/s-15-5.html?___store=serbian"," Pogledajte proizvod na sajtu -&gt;")</f>
        <v> Pogledajte proizvod na sajtu -&gt;</v>
      </c>
    </row>
    <row r="74" spans="1:6" ht="12.75">
      <c r="A74" s="2">
        <v>73</v>
      </c>
      <c r="B74" t="s">
        <v>1406</v>
      </c>
      <c r="C74" t="s">
        <v>1407</v>
      </c>
      <c r="D74" s="2">
        <v>23</v>
      </c>
      <c r="E74" s="2">
        <v>30</v>
      </c>
      <c r="F74" s="3" t="str">
        <f>HYPERLINK("http://www.sah.co.rs/s-200-5.html?___store=serbian"," Pogledajte proizvod na sajtu -&gt;")</f>
        <v> Pogledajte proizvod na sajtu -&gt;</v>
      </c>
    </row>
    <row r="75" spans="1:6" ht="12.75">
      <c r="A75" s="2">
        <v>74</v>
      </c>
      <c r="B75" t="s">
        <v>1408</v>
      </c>
      <c r="C75" t="s">
        <v>1409</v>
      </c>
      <c r="D75" s="2">
        <v>32</v>
      </c>
      <c r="E75" s="2">
        <v>12.5</v>
      </c>
      <c r="F75" s="3" t="str">
        <f>HYPERLINK("http://www.sah.co.rs/s-25-5.html?___store=serbian"," Pogledajte proizvod na sajtu -&gt;")</f>
        <v> Pogledajte proizvod na sajtu -&gt;</v>
      </c>
    </row>
    <row r="76" spans="1:6" ht="12.75">
      <c r="A76" s="2">
        <v>75</v>
      </c>
      <c r="B76" t="s">
        <v>1410</v>
      </c>
      <c r="C76" t="s">
        <v>1411</v>
      </c>
      <c r="D76" s="2">
        <v>31</v>
      </c>
      <c r="E76" s="2">
        <v>25</v>
      </c>
      <c r="F76" s="3" t="str">
        <f>HYPERLINK("http://www.sah.co.rs/s-300-5.html?___store=serbian"," Pogledajte proizvod na sajtu -&gt;")</f>
        <v> Pogledajte proizvod na sajtu -&gt;</v>
      </c>
    </row>
    <row r="77" spans="1:6" ht="12.75">
      <c r="A77" s="2">
        <v>76</v>
      </c>
      <c r="B77" t="s">
        <v>1412</v>
      </c>
      <c r="C77" t="s">
        <v>1413</v>
      </c>
      <c r="D77" s="2">
        <v>0</v>
      </c>
      <c r="E77" s="2">
        <v>45</v>
      </c>
      <c r="F77" s="3" t="str">
        <f>HYPERLINK("http://www.sah.co.rs/s-320-5.html?___store=serbian"," Pogledajte proizvod na sajtu -&gt;")</f>
        <v> Pogledajte proizvod na sajtu -&gt;</v>
      </c>
    </row>
    <row r="78" spans="1:6" ht="12.75">
      <c r="A78" s="2">
        <v>77</v>
      </c>
      <c r="B78" t="s">
        <v>1414</v>
      </c>
      <c r="C78" t="s">
        <v>1415</v>
      </c>
      <c r="D78" s="2">
        <v>30</v>
      </c>
      <c r="E78" s="2">
        <v>25</v>
      </c>
      <c r="F78" s="3" t="str">
        <f>HYPERLINK("http://www.sah.co.rs/s-400-5.html?___store=serbian"," Pogledajte proizvod na sajtu -&gt;")</f>
        <v> Pogledajte proizvod na sajtu -&gt;</v>
      </c>
    </row>
    <row r="79" spans="1:6" ht="12.75">
      <c r="A79" s="2">
        <v>78</v>
      </c>
      <c r="B79" t="s">
        <v>1416</v>
      </c>
      <c r="C79" t="s">
        <v>1417</v>
      </c>
      <c r="D79" s="2">
        <v>46</v>
      </c>
      <c r="E79" s="2">
        <v>15</v>
      </c>
      <c r="F79" s="3" t="str">
        <f>HYPERLINK("http://www.sah.co.rs/s-40-5.html?___store=serbian"," Pogledajte proizvod na sajtu -&gt;")</f>
        <v> Pogledajte proizvod na sajtu -&gt;</v>
      </c>
    </row>
    <row r="80" spans="1:6" ht="12.75">
      <c r="A80" s="2">
        <v>79</v>
      </c>
      <c r="B80" t="s">
        <v>1418</v>
      </c>
      <c r="C80" t="s">
        <v>1419</v>
      </c>
      <c r="D80" s="2">
        <v>17</v>
      </c>
      <c r="E80" s="2">
        <v>16</v>
      </c>
      <c r="F80" s="3" t="str">
        <f>HYPERLINK("http://www.sah.co.rs/s-50-5.html?___store=serbian"," Pogledajte proizvod na sajtu -&gt;")</f>
        <v> Pogledajte proizvod na sajtu -&gt;</v>
      </c>
    </row>
    <row r="81" spans="1:6" ht="12.75">
      <c r="A81" s="2">
        <v>80</v>
      </c>
      <c r="B81" t="s">
        <v>1420</v>
      </c>
      <c r="C81" t="s">
        <v>1421</v>
      </c>
      <c r="D81" s="2">
        <v>18</v>
      </c>
      <c r="E81" s="2">
        <v>80</v>
      </c>
      <c r="F81" s="3" t="str">
        <f>HYPERLINK("http://www.sah.co.rs/k-0100-720.html?___store=serbian"," Pogledajte proizvod na sajtu -&gt;")</f>
        <v> Pogledajte proizvod na sajtu -&gt;</v>
      </c>
    </row>
    <row r="82" spans="1:6" ht="12.75">
      <c r="A82" s="2">
        <v>81</v>
      </c>
      <c r="B82" t="s">
        <v>1422</v>
      </c>
      <c r="C82" t="s">
        <v>1423</v>
      </c>
      <c r="D82" s="2">
        <v>1</v>
      </c>
      <c r="E82" s="2">
        <v>50</v>
      </c>
      <c r="F82" s="3" t="str">
        <f>HYPERLINK("http://www.sah.co.rs/ad-155a.html?___store=serbian"," Pogledajte proizvod na sajtu -&gt;")</f>
        <v> Pogledajte proizvod na sajtu -&gt;</v>
      </c>
    </row>
    <row r="83" spans="1:6" ht="12.75">
      <c r="A83" s="2">
        <v>82</v>
      </c>
      <c r="B83" t="s">
        <v>1424</v>
      </c>
      <c r="C83" t="s">
        <v>1425</v>
      </c>
      <c r="D83" s="2">
        <v>14</v>
      </c>
      <c r="E83" s="2">
        <v>28</v>
      </c>
      <c r="F83" s="3" t="str">
        <f>HYPERLINK("http://www.sah.co.rs/sp-24-as.html?___store=serbian"," Pogledajte proizvod na sajtu -&gt;")</f>
        <v> Pogledajte proizvod na sajtu -&gt;</v>
      </c>
    </row>
    <row r="84" spans="1:6" ht="12.75">
      <c r="A84" s="2">
        <v>83</v>
      </c>
      <c r="B84" t="s">
        <v>1426</v>
      </c>
      <c r="C84" t="s">
        <v>1427</v>
      </c>
      <c r="D84" s="2">
        <v>3</v>
      </c>
      <c r="E84" s="2">
        <v>50</v>
      </c>
      <c r="F84" s="3" t="str">
        <f>HYPERLINK("http://www.sah.co.rs/sp-24-al.html?___store=serbian"," Pogledajte proizvod na sajtu -&gt;")</f>
        <v> Pogledajte proizvod na sajtu -&gt;</v>
      </c>
    </row>
    <row r="85" spans="1:6" ht="12.75">
      <c r="A85" s="2">
        <v>84</v>
      </c>
      <c r="B85" t="s">
        <v>1428</v>
      </c>
      <c r="C85" t="s">
        <v>1429</v>
      </c>
      <c r="D85" s="2">
        <v>0</v>
      </c>
      <c r="E85" s="2">
        <v>50</v>
      </c>
      <c r="F85" s="3" t="str">
        <f>HYPERLINK("http://www.sah.co.rs/ad-155b.html?___store=serbian"," Pogledajte proizvod na sajtu -&gt;")</f>
        <v> Pogledajte proizvod na sajtu -&gt;</v>
      </c>
    </row>
    <row r="86" spans="1:6" ht="12.75">
      <c r="A86" s="2">
        <v>85</v>
      </c>
      <c r="B86" t="s">
        <v>1430</v>
      </c>
      <c r="C86" t="s">
        <v>1431</v>
      </c>
      <c r="D86" s="2">
        <v>26</v>
      </c>
      <c r="E86" s="2">
        <v>21</v>
      </c>
      <c r="F86" s="3" t="str">
        <f>HYPERLINK("http://www.sah.co.rs/lrs-150-12.html?___store=serbian"," Pogledajte proizvod na sajtu -&gt;")</f>
        <v> Pogledajte proizvod na sajtu -&gt;</v>
      </c>
    </row>
    <row r="87" spans="1:6" ht="12.75">
      <c r="A87" s="2">
        <v>86</v>
      </c>
      <c r="B87" t="s">
        <v>1432</v>
      </c>
      <c r="C87" t="s">
        <v>1433</v>
      </c>
      <c r="D87" s="2">
        <v>34</v>
      </c>
      <c r="E87" s="2">
        <v>17</v>
      </c>
      <c r="F87" s="3" t="str">
        <f>HYPERLINK("http://www.sah.co.rs/lrs-100-24.html?___store=serbian"," Pogledajte proizvod na sajtu -&gt;")</f>
        <v> Pogledajte proizvod na sajtu -&gt;</v>
      </c>
    </row>
    <row r="88" spans="1:6" ht="12.75">
      <c r="A88" s="2">
        <v>87</v>
      </c>
      <c r="B88" t="s">
        <v>1434</v>
      </c>
      <c r="C88" t="s">
        <v>1435</v>
      </c>
      <c r="D88" s="2">
        <v>20</v>
      </c>
      <c r="E88" s="2">
        <v>20</v>
      </c>
      <c r="F88" s="3" t="str">
        <f>HYPERLINK("http://www.sah.co.rs/lrs-150-24.html?___store=serbian"," Pogledajte proizvod na sajtu -&gt;")</f>
        <v> Pogledajte proizvod na sajtu -&gt;</v>
      </c>
    </row>
    <row r="89" spans="1:6" ht="12.75">
      <c r="A89" s="2">
        <v>88</v>
      </c>
      <c r="B89" t="s">
        <v>1436</v>
      </c>
      <c r="C89" t="s">
        <v>1437</v>
      </c>
      <c r="D89" s="2">
        <v>11</v>
      </c>
      <c r="E89" s="2">
        <v>28</v>
      </c>
      <c r="F89" s="3" t="str">
        <f>HYPERLINK("http://www.sah.co.rs/lrs-200-24.html?___store=serbian"," Pogledajte proizvod na sajtu -&gt;")</f>
        <v> Pogledajte proizvod na sajtu -&gt;</v>
      </c>
    </row>
    <row r="90" spans="1:6" ht="12.75">
      <c r="A90" s="2">
        <v>89</v>
      </c>
      <c r="B90" t="s">
        <v>1438</v>
      </c>
      <c r="C90" t="s">
        <v>1439</v>
      </c>
      <c r="D90" s="2">
        <v>10</v>
      </c>
      <c r="E90" s="2">
        <v>35</v>
      </c>
      <c r="F90" s="3" t="str">
        <f>HYPERLINK("http://www.sah.co.rs/lrs-350-24.html?___store=serbian"," Pogledajte proizvod na sajtu -&gt;")</f>
        <v> Pogledajte proizvod na sajtu -&gt;</v>
      </c>
    </row>
    <row r="91" spans="1:6" ht="12.75">
      <c r="A91" s="2">
        <v>90</v>
      </c>
      <c r="B91" t="s">
        <v>1440</v>
      </c>
      <c r="C91" t="s">
        <v>1441</v>
      </c>
      <c r="D91" s="2">
        <v>52</v>
      </c>
      <c r="E91" s="2">
        <v>12</v>
      </c>
      <c r="F91" s="3" t="str">
        <f>HYPERLINK("http://www.sah.co.rs/lrs-35-24.html?___store=serbian"," Pogledajte proizvod na sajtu -&gt;")</f>
        <v> Pogledajte proizvod na sajtu -&gt;</v>
      </c>
    </row>
    <row r="92" spans="1:6" ht="12.75">
      <c r="A92" s="2">
        <v>91</v>
      </c>
      <c r="B92" t="s">
        <v>1442</v>
      </c>
      <c r="C92" t="s">
        <v>1443</v>
      </c>
      <c r="D92" s="2">
        <v>42</v>
      </c>
      <c r="E92" s="2">
        <v>13</v>
      </c>
      <c r="F92" s="3" t="str">
        <f>HYPERLINK("http://www.sah.co.rs/lrs-50-24.html?___store=serbian"," Pogledajte proizvod na sajtu -&gt;")</f>
        <v> Pogledajte proizvod na sajtu -&gt;</v>
      </c>
    </row>
    <row r="93" spans="1:6" ht="12.75">
      <c r="A93" s="2">
        <v>92</v>
      </c>
      <c r="B93" t="s">
        <v>1444</v>
      </c>
      <c r="C93" t="s">
        <v>1445</v>
      </c>
      <c r="D93" s="2">
        <v>38</v>
      </c>
      <c r="E93" s="2">
        <v>15</v>
      </c>
      <c r="F93" s="3" t="str">
        <f>HYPERLINK("http://www.sah.co.rs/lrs-75-24.html?___store=serbian"," Pogledajte proizvod na sajtu -&gt;")</f>
        <v> Pogledajte proizvod na sajtu -&gt;</v>
      </c>
    </row>
    <row r="94" spans="1:6" ht="12.75">
      <c r="A94" s="2">
        <v>93</v>
      </c>
      <c r="B94" t="s">
        <v>1446</v>
      </c>
      <c r="C94" t="s">
        <v>1447</v>
      </c>
      <c r="D94" s="2">
        <v>7</v>
      </c>
      <c r="E94" s="2">
        <v>220</v>
      </c>
      <c r="F94" s="3" t="str">
        <f>HYPERLINK("http://www.sah.co.rs/3645a.html?___store=serbian"," Pogledajte proizvod na sajtu -&gt;")</f>
        <v> Pogledajte proizvod na sajtu -&gt;</v>
      </c>
    </row>
    <row r="95" spans="1:6" ht="12.75">
      <c r="A95" s="2">
        <v>94</v>
      </c>
      <c r="B95" t="s">
        <v>1448</v>
      </c>
      <c r="C95" t="s">
        <v>1449</v>
      </c>
      <c r="D95" s="2">
        <v>90</v>
      </c>
      <c r="E95" s="2">
        <v>10</v>
      </c>
      <c r="F95" s="3" t="str">
        <f>HYPERLINK("http://www.sah.co.rs/ws-120-12.html?___store=serbian"," Pogledajte proizvod na sajtu -&gt;")</f>
        <v> Pogledajte proizvod na sajtu -&gt;</v>
      </c>
    </row>
    <row r="96" spans="1:6" ht="12.75">
      <c r="A96" s="2">
        <v>95</v>
      </c>
      <c r="B96" t="s">
        <v>1450</v>
      </c>
      <c r="C96" t="s">
        <v>1451</v>
      </c>
      <c r="D96" s="2">
        <v>108</v>
      </c>
      <c r="E96" s="2">
        <v>11.5</v>
      </c>
      <c r="F96" s="3" t="str">
        <f>HYPERLINK("http://www.sah.co.rs/ws-150-12.html?___store=serbian"," Pogledajte proizvod na sajtu -&gt;")</f>
        <v> Pogledajte proizvod na sajtu -&gt;</v>
      </c>
    </row>
    <row r="97" spans="1:6" ht="12.75">
      <c r="A97" s="2">
        <v>96</v>
      </c>
      <c r="B97" t="s">
        <v>1452</v>
      </c>
      <c r="C97" t="s">
        <v>1453</v>
      </c>
      <c r="D97" s="2">
        <v>73</v>
      </c>
      <c r="E97" s="2">
        <v>13</v>
      </c>
      <c r="F97" s="3" t="str">
        <f>HYPERLINK("http://www.sah.co.rs/ws-200-12.html?___store=serbian"," Pogledajte proizvod na sajtu -&gt;")</f>
        <v> Pogledajte proizvod na sajtu -&gt;</v>
      </c>
    </row>
    <row r="98" spans="1:6" ht="12.75">
      <c r="A98" s="2">
        <v>97</v>
      </c>
      <c r="B98" t="s">
        <v>1454</v>
      </c>
      <c r="C98" t="s">
        <v>1455</v>
      </c>
      <c r="D98" s="2">
        <v>77</v>
      </c>
      <c r="E98" s="2">
        <v>7</v>
      </c>
      <c r="F98" s="3" t="str">
        <f>HYPERLINK("http://www.sah.co.rs/ws-25-12.html?___store=serbian"," Pogledajte proizvod na sajtu -&gt;")</f>
        <v> Pogledajte proizvod na sajtu -&gt;</v>
      </c>
    </row>
    <row r="99" spans="1:6" ht="12.75">
      <c r="A99" s="2">
        <v>98</v>
      </c>
      <c r="B99" t="s">
        <v>1456</v>
      </c>
      <c r="C99" t="s">
        <v>1457</v>
      </c>
      <c r="D99" s="2">
        <v>99</v>
      </c>
      <c r="E99" s="2">
        <v>8.5</v>
      </c>
      <c r="F99" s="3" t="str">
        <f>HYPERLINK("http://www.sah.co.rs/ws-60-12.html?___store=serbian"," Pogledajte proizvod na sajtu -&gt;")</f>
        <v> Pogledajte proizvod na sajtu -&gt;</v>
      </c>
    </row>
    <row r="100" spans="1:6" ht="12.75">
      <c r="A100" s="2">
        <v>99</v>
      </c>
      <c r="B100" t="s">
        <v>1458</v>
      </c>
      <c r="C100" t="s">
        <v>1459</v>
      </c>
      <c r="D100" s="2">
        <v>63</v>
      </c>
      <c r="E100" s="2">
        <v>10</v>
      </c>
      <c r="F100" s="3" t="str">
        <f>HYPERLINK("http://www.sah.co.rs/ws-120-24.html?___store=serbian"," Pogledajte proizvod na sajtu -&gt;")</f>
        <v> Pogledajte proizvod na sajtu -&gt;</v>
      </c>
    </row>
    <row r="101" spans="1:6" ht="12.75">
      <c r="A101" s="2">
        <v>100</v>
      </c>
      <c r="B101" t="s">
        <v>1460</v>
      </c>
      <c r="C101" t="s">
        <v>1461</v>
      </c>
      <c r="D101" s="2">
        <v>100</v>
      </c>
      <c r="E101" s="2">
        <v>11</v>
      </c>
      <c r="F101" s="3" t="str">
        <f>HYPERLINK("http://www.sah.co.rs/ws-150-24.html?___store=serbian"," Pogledajte proizvod na sajtu -&gt;")</f>
        <v> Pogledajte proizvod na sajtu -&gt;</v>
      </c>
    </row>
    <row r="102" spans="1:6" ht="12.75">
      <c r="A102" s="2">
        <v>101</v>
      </c>
      <c r="B102" t="s">
        <v>1462</v>
      </c>
      <c r="C102" t="s">
        <v>1463</v>
      </c>
      <c r="D102" s="2">
        <v>92</v>
      </c>
      <c r="E102" s="2">
        <v>13</v>
      </c>
      <c r="F102" s="3" t="str">
        <f>HYPERLINK("http://www.sah.co.rs/ws-200-24.html?___store=serbian"," Pogledajte proizvod na sajtu -&gt;")</f>
        <v> Pogledajte proizvod na sajtu -&gt;</v>
      </c>
    </row>
    <row r="103" spans="1:6" ht="12.75">
      <c r="A103" s="2">
        <v>102</v>
      </c>
      <c r="B103" t="s">
        <v>1464</v>
      </c>
      <c r="C103" t="s">
        <v>1465</v>
      </c>
      <c r="D103" s="2">
        <v>50</v>
      </c>
      <c r="E103" s="2">
        <v>7</v>
      </c>
      <c r="F103" s="3" t="str">
        <f>HYPERLINK("http://www.sah.co.rs/ws-25-24.html?___store=serbian"," Pogledajte proizvod na sajtu -&gt;")</f>
        <v> Pogledajte proizvod na sajtu -&gt;</v>
      </c>
    </row>
    <row r="104" spans="1:6" ht="12.75">
      <c r="A104" s="2">
        <v>103</v>
      </c>
      <c r="B104" t="s">
        <v>1466</v>
      </c>
      <c r="C104" t="s">
        <v>1467</v>
      </c>
      <c r="D104" s="2">
        <v>71</v>
      </c>
      <c r="E104" s="2">
        <v>8.5</v>
      </c>
      <c r="F104" s="3" t="str">
        <f>HYPERLINK("http://www.sah.co.rs/ws-60-24.html?___store=serbian"," Pogledajte proizvod na sajtu -&gt;")</f>
        <v> Pogledajte proizvod na sajtu -&gt;</v>
      </c>
    </row>
    <row r="105" spans="1:6" ht="12.75">
      <c r="A105" s="2">
        <v>104</v>
      </c>
      <c r="B105" t="s">
        <v>1468</v>
      </c>
      <c r="C105" t="s">
        <v>1469</v>
      </c>
      <c r="D105" s="2">
        <v>110</v>
      </c>
      <c r="E105" s="2">
        <v>16</v>
      </c>
      <c r="F105" s="3" t="str">
        <f>HYPERLINK("http://www.sah.co.rs/ws-200-5.html?___store=serbian"," Pogledajte proizvod na sajtu -&gt;")</f>
        <v> Pogledajte proizvod na sajtu -&gt;</v>
      </c>
    </row>
    <row r="106" spans="1:6" ht="12.75">
      <c r="A106" s="2">
        <v>105</v>
      </c>
      <c r="B106" t="s">
        <v>1470</v>
      </c>
      <c r="C106" t="s">
        <v>1471</v>
      </c>
      <c r="D106" s="2">
        <v>85</v>
      </c>
      <c r="E106" s="2">
        <v>7</v>
      </c>
      <c r="F106" s="3" t="str">
        <f>HYPERLINK("http://www.sah.co.rs/ws-25-5.html?___store=serbian"," Pogledajte proizvod na sajtu -&gt;")</f>
        <v> Pogledajte proizvod na sajtu -&gt;</v>
      </c>
    </row>
    <row r="107" spans="1:6" ht="12.75">
      <c r="A107" s="2">
        <v>106</v>
      </c>
      <c r="B107" t="s">
        <v>1472</v>
      </c>
      <c r="C107" t="s">
        <v>1473</v>
      </c>
      <c r="D107" s="2">
        <v>104</v>
      </c>
      <c r="E107" s="2">
        <v>9</v>
      </c>
      <c r="F107" s="3" t="str">
        <f>HYPERLINK("http://www.sah.co.rs/ws-50-5.html?___store=serbian","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0.8515625" style="0" customWidth="1"/>
    <col min="3" max="3" width="55.281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1474</v>
      </c>
      <c r="C2" t="s">
        <v>1475</v>
      </c>
      <c r="D2" s="2">
        <v>1</v>
      </c>
      <c r="E2" s="2">
        <v>450</v>
      </c>
      <c r="F2" s="3" t="str">
        <f>HYPERLINK("http://www.sah.co.rs/tga62-et.html?___store=serbian"," Pogledajte proizvod na sajtu -&gt;")</f>
        <v> Pogledajte proizvod na sajtu -&gt;</v>
      </c>
    </row>
    <row r="3" spans="1:6" ht="12.75">
      <c r="A3" s="2">
        <v>2</v>
      </c>
      <c r="B3" t="s">
        <v>1476</v>
      </c>
      <c r="C3" t="s">
        <v>1477</v>
      </c>
      <c r="D3" s="2">
        <v>14</v>
      </c>
      <c r="E3" s="2">
        <v>450</v>
      </c>
      <c r="F3" s="3" t="str">
        <f>HYPERLINK("http://www.sah.co.rs/tga62-mt.html?___store=serbian"," Pogledajte proizvod na sajtu -&gt;")</f>
        <v> Pogledajte proizvod na sajtu -&gt;</v>
      </c>
    </row>
    <row r="4" spans="1:6" ht="12.75">
      <c r="A4" s="2">
        <v>3</v>
      </c>
      <c r="B4" t="s">
        <v>1478</v>
      </c>
      <c r="C4" t="s">
        <v>1479</v>
      </c>
      <c r="D4" s="2">
        <v>2</v>
      </c>
      <c r="E4" s="2">
        <v>1300</v>
      </c>
      <c r="F4" s="3" t="str">
        <f>HYPERLINK("http://www.sah.co.rs/tgc65-et.html?___store=serbian"," Pogledajte proizvod na sajtu -&gt;")</f>
        <v> Pogledajte proizvod na sajtu -&gt;</v>
      </c>
    </row>
    <row r="5" spans="1:6" ht="12.75">
      <c r="A5" s="2">
        <v>4</v>
      </c>
      <c r="B5" t="s">
        <v>1480</v>
      </c>
      <c r="C5" t="s">
        <v>1481</v>
      </c>
      <c r="D5" s="2">
        <v>33</v>
      </c>
      <c r="E5" s="2">
        <v>100</v>
      </c>
      <c r="F5" s="3" t="str">
        <f>HYPERLINK("http://www.sah.co.rs/op320-a-s.html?___store=serbian"," Pogledajte proizvod na sajtu -&gt;")</f>
        <v> Pogledajte proizvod na sajtu -&gt;</v>
      </c>
    </row>
    <row r="6" spans="1:6" ht="12.75">
      <c r="A6" s="2">
        <v>5</v>
      </c>
      <c r="B6" t="s">
        <v>1482</v>
      </c>
      <c r="C6" t="s">
        <v>1481</v>
      </c>
      <c r="D6" s="2">
        <v>0</v>
      </c>
      <c r="E6" s="2">
        <v>170</v>
      </c>
      <c r="F6" s="3" t="str">
        <f>HYPERLINK("http://www.sah.co.rs/mp330-s.html?___store=serbian"," Pogledajte proizvod na sajtu -&gt;")</f>
        <v> Pogledajte proizvod na sajtu -&gt;</v>
      </c>
    </row>
    <row r="7" spans="1:6" ht="12.75">
      <c r="A7" s="2">
        <v>6</v>
      </c>
      <c r="B7" t="s">
        <v>1483</v>
      </c>
      <c r="C7" t="s">
        <v>1481</v>
      </c>
      <c r="D7" s="2">
        <v>2</v>
      </c>
      <c r="E7" s="2">
        <v>160</v>
      </c>
      <c r="F7" s="3" t="str">
        <f>HYPERLINK("http://www.sah.co.rs/mp325-a-s.html?___store=serbian"," Pogledajte proizvod na sajtu -&gt;")</f>
        <v> Pogledajte proizvod na sajtu -&gt;</v>
      </c>
    </row>
    <row r="8" spans="1:6" ht="12.75">
      <c r="A8" s="2">
        <v>7</v>
      </c>
      <c r="B8" t="s">
        <v>1484</v>
      </c>
      <c r="C8" t="s">
        <v>1485</v>
      </c>
      <c r="D8" s="2">
        <v>68</v>
      </c>
      <c r="E8" s="2">
        <v>80</v>
      </c>
      <c r="F8" s="3" t="str">
        <f>HYPERLINK("http://www.sah.co.rs/sh-300.html?___store=serbian"," Pogledajte proizvod na sajtu -&gt;")</f>
        <v> Pogledajte proizvod na sajtu -&gt;</v>
      </c>
    </row>
    <row r="9" spans="1:6" ht="12.75">
      <c r="A9" s="2">
        <v>8</v>
      </c>
      <c r="B9" t="s">
        <v>1486</v>
      </c>
      <c r="C9" t="s">
        <v>1487</v>
      </c>
      <c r="D9" s="2">
        <v>12</v>
      </c>
      <c r="E9" s="2">
        <v>170</v>
      </c>
      <c r="F9" s="3" t="str">
        <f>HYPERLINK("http://www.sah.co.rs/tg465-mt.html?___store=serbian"," Pogledajte proizvod na sajtu -&gt;")</f>
        <v> Pogledajte proizvod na sajtu -&gt;</v>
      </c>
    </row>
    <row r="10" spans="1:6" ht="12.75">
      <c r="A10" s="2">
        <v>9</v>
      </c>
      <c r="B10" t="s">
        <v>1488</v>
      </c>
      <c r="C10" t="s">
        <v>1489</v>
      </c>
      <c r="D10" s="2">
        <v>10</v>
      </c>
      <c r="E10" s="2">
        <v>240</v>
      </c>
      <c r="F10" s="3" t="str">
        <f>HYPERLINK("http://www.sah.co.rs/tg765-ut.html?___store=serbian"," Pogledajte proizvod na sajtu -&gt;")</f>
        <v> Pogledajte proizvod na sajtu -&gt;</v>
      </c>
    </row>
    <row r="11" spans="1:6" ht="12.75">
      <c r="A11" s="2">
        <v>10</v>
      </c>
      <c r="B11" t="s">
        <v>1490</v>
      </c>
      <c r="C11" t="s">
        <v>1491</v>
      </c>
      <c r="D11" s="2">
        <v>6</v>
      </c>
      <c r="E11" s="2">
        <v>270</v>
      </c>
      <c r="F11" s="3" t="str">
        <f>HYPERLINK("http://www.sah.co.rs/tg765-et.html?___store=serbian"," Pogledajte proizvod na sajtu -&gt;")</f>
        <v> Pogledajte proizvod na sajtu -&gt;</v>
      </c>
    </row>
    <row r="12" spans="1:6" ht="12.75">
      <c r="A12" s="2">
        <v>11</v>
      </c>
      <c r="B12" t="s">
        <v>1492</v>
      </c>
      <c r="C12" t="s">
        <v>1493</v>
      </c>
      <c r="D12" s="2">
        <v>24</v>
      </c>
      <c r="E12" s="2">
        <v>220</v>
      </c>
      <c r="F12" s="3" t="str">
        <f>HYPERLINK("http://www.sah.co.rs/tg765-mt.html?___store=serbian","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1.421875" style="0" customWidth="1"/>
    <col min="3" max="3" width="33.281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132</v>
      </c>
      <c r="C2" t="s">
        <v>133</v>
      </c>
      <c r="D2" s="2">
        <v>0</v>
      </c>
      <c r="E2" s="2">
        <v>5</v>
      </c>
      <c r="F2" s="3" t="str">
        <f>HYPERLINK("http://www.sah.co.rs/lrd13-1306.html?___store=serbian"," Pogledajte proizvod na sajtu -&gt;")</f>
        <v> Pogledajte proizvod na sajtu -&gt;</v>
      </c>
    </row>
    <row r="3" spans="1:6" ht="12.75">
      <c r="A3" s="2">
        <v>2</v>
      </c>
      <c r="B3" t="s">
        <v>134</v>
      </c>
      <c r="C3" t="s">
        <v>135</v>
      </c>
      <c r="D3" s="2">
        <v>1</v>
      </c>
      <c r="E3" s="2">
        <v>5</v>
      </c>
      <c r="F3" s="3" t="str">
        <f>HYPERLINK("http://www.sah.co.rs/lrd13-1307.html?___store=serbian"," Pogledajte proizvod na sajtu -&gt;")</f>
        <v> Pogledajte proizvod na sajtu -&gt;</v>
      </c>
    </row>
    <row r="4" spans="1:6" ht="12.75">
      <c r="A4" s="2">
        <v>3</v>
      </c>
      <c r="B4" t="s">
        <v>136</v>
      </c>
      <c r="C4" t="s">
        <v>137</v>
      </c>
      <c r="D4" s="2">
        <v>51</v>
      </c>
      <c r="E4" s="2">
        <v>5</v>
      </c>
      <c r="F4" s="3" t="str">
        <f>HYPERLINK("http://www.sah.co.rs/lrd13-1321.html?___store=serbian"," Pogledajte proizvod na sajtu -&gt;")</f>
        <v> Pogledajte proizvod na sajtu -&gt;</v>
      </c>
    </row>
    <row r="5" spans="1:6" ht="12.75">
      <c r="A5" s="2">
        <v>4</v>
      </c>
      <c r="B5" t="s">
        <v>138</v>
      </c>
      <c r="C5" t="s">
        <v>139</v>
      </c>
      <c r="D5" s="2">
        <v>0</v>
      </c>
      <c r="E5" s="2">
        <v>5</v>
      </c>
      <c r="F5" s="3" t="str">
        <f>HYPERLINK("http://www.sah.co.rs/lrd13-1308.html?___store=serbian"," Pogledajte proizvod na sajtu -&gt;")</f>
        <v> Pogledajte proizvod na sajtu -&gt;</v>
      </c>
    </row>
    <row r="6" spans="1:6" ht="12.75">
      <c r="A6" s="2">
        <v>5</v>
      </c>
      <c r="B6" t="s">
        <v>140</v>
      </c>
      <c r="C6" t="s">
        <v>141</v>
      </c>
      <c r="D6" s="2">
        <v>0</v>
      </c>
      <c r="E6" s="2">
        <v>5</v>
      </c>
      <c r="F6" s="3" t="str">
        <f>HYPERLINK("http://www.sah.co.rs/lrd13-1310.html?___store=serbian"," Pogledajte proizvod na sajtu -&gt;")</f>
        <v> Pogledajte proizvod na sajtu -&gt;</v>
      </c>
    </row>
    <row r="7" spans="1:6" ht="12.75">
      <c r="A7" s="2">
        <v>6</v>
      </c>
      <c r="B7" t="s">
        <v>142</v>
      </c>
      <c r="C7" t="s">
        <v>143</v>
      </c>
      <c r="D7" s="2">
        <v>28</v>
      </c>
      <c r="E7" s="2">
        <v>5</v>
      </c>
      <c r="F7" s="3" t="str">
        <f>HYPERLINK("http://www.sah.co.rs/lrd13-1314.html?___store=serbian"," Pogledajte proizvod na sajtu -&gt;")</f>
        <v> Pogledajte proizvod na sajtu -&gt;</v>
      </c>
    </row>
    <row r="8" spans="1:6" ht="12.75">
      <c r="A8" s="2">
        <v>7</v>
      </c>
      <c r="B8" t="s">
        <v>144</v>
      </c>
      <c r="C8" t="s">
        <v>145</v>
      </c>
      <c r="D8" s="2">
        <v>38</v>
      </c>
      <c r="E8" s="2">
        <v>5</v>
      </c>
      <c r="F8" s="3" t="str">
        <f>HYPERLINK("http://www.sah.co.rs/lrd13-1316.html?___store=serbian","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6.8515625" style="0" customWidth="1"/>
    <col min="3" max="3" width="37.71093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1494</v>
      </c>
      <c r="C2" t="s">
        <v>1495</v>
      </c>
      <c r="D2" s="2">
        <v>252</v>
      </c>
      <c r="E2" s="2">
        <v>3</v>
      </c>
      <c r="F2" s="3" t="str">
        <f>HYPERLINK("http://www.sah.co.rs/mh-06.html?___store=serbian","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4.28125" style="0" customWidth="1"/>
    <col min="3" max="3" width="84.574218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1496</v>
      </c>
      <c r="C2" t="s">
        <v>1497</v>
      </c>
      <c r="D2" s="2">
        <v>37</v>
      </c>
      <c r="E2" s="2">
        <v>10</v>
      </c>
      <c r="F2" s="3" t="str">
        <f>HYPERLINK("http://www.sah.co.rs/tj-ag-1520-1.html?___store=serbian"," Pogledajte proizvod na sajtu -&gt;")</f>
        <v> Pogledajte proizvod na sajtu -&gt;</v>
      </c>
    </row>
    <row r="3" spans="1:6" ht="12.75">
      <c r="A3" s="2">
        <v>2</v>
      </c>
      <c r="B3" t="s">
        <v>1498</v>
      </c>
      <c r="C3" t="s">
        <v>1499</v>
      </c>
      <c r="D3" s="2">
        <v>0</v>
      </c>
      <c r="E3" s="2">
        <v>11</v>
      </c>
      <c r="F3" s="3" t="str">
        <f>HYPERLINK("http://www.sah.co.rs/tj-ag-1525-1.html?___store=serbian"," Pogledajte proizvod na sajtu -&gt;")</f>
        <v> Pogledajte proizvod na sajtu -&gt;</v>
      </c>
    </row>
    <row r="4" spans="1:6" ht="12.75">
      <c r="A4" s="2">
        <v>3</v>
      </c>
      <c r="B4" t="s">
        <v>1500</v>
      </c>
      <c r="C4" t="s">
        <v>1501</v>
      </c>
      <c r="D4" s="2">
        <v>0</v>
      </c>
      <c r="E4" s="2">
        <v>12</v>
      </c>
      <c r="F4" s="3" t="str">
        <f>HYPERLINK("http://www.sah.co.rs/tj-ag-2020-1.html?___store=serbian"," Pogledajte proizvod na sajtu -&gt;")</f>
        <v> Pogledajte proizvod na sajtu -&gt;</v>
      </c>
    </row>
    <row r="5" spans="1:6" ht="12.75">
      <c r="A5" s="2">
        <v>4</v>
      </c>
      <c r="B5" t="s">
        <v>1502</v>
      </c>
      <c r="C5" t="s">
        <v>1503</v>
      </c>
      <c r="D5" s="2">
        <v>49</v>
      </c>
      <c r="E5" s="2">
        <v>20</v>
      </c>
      <c r="F5" s="3" t="str">
        <f>HYPERLINK("http://www.sah.co.rs/tj-ag-2819-2.html?___store=serbian"," Pogledajte proizvod na sajtu -&gt;")</f>
        <v> Pogledajte proizvod na sajtu -&gt;</v>
      </c>
    </row>
    <row r="6" spans="1:6" ht="12.75">
      <c r="A6" s="2">
        <v>5</v>
      </c>
      <c r="B6" t="s">
        <v>1504</v>
      </c>
      <c r="C6" t="s">
        <v>1505</v>
      </c>
      <c r="D6" s="2">
        <v>14</v>
      </c>
      <c r="E6" s="2">
        <v>38</v>
      </c>
      <c r="F6" s="3" t="str">
        <f>HYPERLINK("http://www.sah.co.rs/tj-ag-3828-3.html?___store=serbian"," Pogledajte proizvod na sajtu -&gt;")</f>
        <v> Pogledajte proizvod na sajtu -&gt;</v>
      </c>
    </row>
    <row r="7" spans="1:6" ht="12.75">
      <c r="A7" s="2">
        <v>6</v>
      </c>
      <c r="B7" t="s">
        <v>1506</v>
      </c>
      <c r="C7" t="s">
        <v>1507</v>
      </c>
      <c r="D7" s="2">
        <v>133</v>
      </c>
      <c r="E7" s="2">
        <v>6</v>
      </c>
      <c r="F7" s="3" t="str">
        <f>HYPERLINK("http://www.sah.co.rs/gv2-mc02.html?___store=serbian"," Pogledajte proizvod na sajtu -&gt;")</f>
        <v> Pogledajte proizvod na sajtu -&gt;</v>
      </c>
    </row>
    <row r="8" spans="1:6" ht="12.75">
      <c r="A8" s="2">
        <v>7</v>
      </c>
      <c r="B8" t="s">
        <v>1508</v>
      </c>
      <c r="C8" t="s">
        <v>1509</v>
      </c>
      <c r="D8" s="2">
        <v>123</v>
      </c>
      <c r="E8" s="2">
        <v>0.9</v>
      </c>
      <c r="F8" s="3" t="str">
        <f>HYPERLINK("http://www.sah.co.rs/bx2w.html?___store=serbian"," Pogledajte proizvod na sajtu -&gt;")</f>
        <v> Pogledajte proizvod na sajtu -&gt;</v>
      </c>
    </row>
    <row r="9" spans="1:6" ht="12.75">
      <c r="A9" s="2">
        <v>8</v>
      </c>
      <c r="B9" t="s">
        <v>1510</v>
      </c>
      <c r="C9" t="s">
        <v>1509</v>
      </c>
      <c r="D9" s="2">
        <v>136</v>
      </c>
      <c r="E9" s="2">
        <v>0.9</v>
      </c>
      <c r="F9" s="3" t="str">
        <f>HYPERLINK("http://www.sah.co.rs/bx2y.html?___store=serbian"," Pogledajte proizvod na sajtu -&gt;")</f>
        <v> Pogledajte proizvod na sajtu -&gt;</v>
      </c>
    </row>
    <row r="10" spans="1:6" ht="12.75">
      <c r="A10" s="2">
        <v>9</v>
      </c>
      <c r="B10" t="s">
        <v>1511</v>
      </c>
      <c r="C10" t="s">
        <v>1512</v>
      </c>
      <c r="D10" s="2">
        <v>44</v>
      </c>
      <c r="E10" s="2">
        <v>1.1</v>
      </c>
      <c r="F10" s="3" t="str">
        <f>HYPERLINK("http://www.sah.co.rs/bx3y.html?___store=serbian"," Pogledajte proizvod na sajtu -&gt;")</f>
        <v> Pogledajte proizvod na sajtu -&gt;</v>
      </c>
    </row>
    <row r="11" spans="1:6" ht="12.75">
      <c r="A11" s="2">
        <v>10</v>
      </c>
      <c r="B11" t="s">
        <v>1513</v>
      </c>
      <c r="C11" t="s">
        <v>1512</v>
      </c>
      <c r="D11" s="2">
        <v>132</v>
      </c>
      <c r="E11" s="2">
        <v>1.1</v>
      </c>
      <c r="F11" s="3" t="str">
        <f>HYPERLINK("http://www.sah.co.rs/bx3w.html?___store=serbian"," Pogledajte proizvod na sajtu -&gt;")</f>
        <v> Pogledajte proizvod na sajtu -&gt;</v>
      </c>
    </row>
    <row r="12" spans="1:6" ht="12.75">
      <c r="A12" s="2">
        <v>11</v>
      </c>
      <c r="B12" t="s">
        <v>1514</v>
      </c>
      <c r="C12" t="s">
        <v>1515</v>
      </c>
      <c r="D12" s="2">
        <v>42</v>
      </c>
      <c r="E12" s="2">
        <v>1.5</v>
      </c>
      <c r="F12" s="3" t="str">
        <f>HYPERLINK("http://www.sah.co.rs/bx4y.html?___store=serbian"," Pogledajte proizvod na sajtu -&gt;")</f>
        <v> Pogledajte proizvod na sajtu -&gt;</v>
      </c>
    </row>
    <row r="13" spans="1:6" ht="12.75">
      <c r="A13" s="2">
        <v>12</v>
      </c>
      <c r="B13" t="s">
        <v>1516</v>
      </c>
      <c r="C13" t="s">
        <v>1517</v>
      </c>
      <c r="D13" s="2">
        <v>35</v>
      </c>
      <c r="E13" s="2">
        <v>2</v>
      </c>
      <c r="F13" s="3" t="str">
        <f>HYPERLINK("http://www.sah.co.rs/bx5y.html?___store=serbian"," Pogledajte proizvod na sajtu -&gt;")</f>
        <v> Pogledajte proizvod na sajtu -&gt;</v>
      </c>
    </row>
    <row r="14" spans="1:6" ht="12.75">
      <c r="A14" s="2">
        <v>13</v>
      </c>
      <c r="B14" t="s">
        <v>1518</v>
      </c>
      <c r="C14" t="s">
        <v>1519</v>
      </c>
      <c r="D14" s="2">
        <v>369</v>
      </c>
      <c r="E14" s="2">
        <v>2.1</v>
      </c>
      <c r="F14" s="3" t="str">
        <f>HYPERLINK("http://www.sah.co.rs/hb5-d02.html?___store=serbian"," Pogledajte proizvod na sajtu -&gt;")</f>
        <v> Pogledajte proizvod na sajtu -&gt;</v>
      </c>
    </row>
    <row r="15" spans="1:6" ht="12.75">
      <c r="A15" s="2">
        <v>14</v>
      </c>
      <c r="B15" t="s">
        <v>1520</v>
      </c>
      <c r="C15" t="s">
        <v>1521</v>
      </c>
      <c r="D15" s="2">
        <v>338</v>
      </c>
      <c r="E15" s="2">
        <v>2.5</v>
      </c>
      <c r="F15" s="3" t="str">
        <f>HYPERLINK("http://www.sah.co.rs/hb5-d03.html?___store=serbian"," Pogledajte proizvod na sajtu -&gt;")</f>
        <v> Pogledajte proizvod na sajtu -&gt;</v>
      </c>
    </row>
    <row r="16" spans="1:6" ht="12.75">
      <c r="A16" s="2">
        <v>15</v>
      </c>
      <c r="B16" t="s">
        <v>1522</v>
      </c>
      <c r="C16" t="s">
        <v>1523</v>
      </c>
      <c r="D16" s="2">
        <v>28</v>
      </c>
      <c r="E16" s="2">
        <v>1.8</v>
      </c>
      <c r="F16" s="3" t="str">
        <f>HYPERLINK("http://www.sah.co.rs/hb5-d01.html?___store=serbian"," Pogledajte proizvod na sajtu -&gt;")</f>
        <v> Pogledajte proizvod na sajtu -&gt;</v>
      </c>
    </row>
    <row r="17" spans="1:6" ht="12.75">
      <c r="A17" s="2">
        <v>16</v>
      </c>
      <c r="B17" t="s">
        <v>1524</v>
      </c>
      <c r="C17" t="s">
        <v>1525</v>
      </c>
      <c r="D17" s="2">
        <v>73</v>
      </c>
      <c r="E17" s="2">
        <v>3</v>
      </c>
      <c r="F17" s="3" t="str">
        <f>HYPERLINK("http://www.sah.co.rs/gob-2a-gw.html?___store=serbian"," Pogledajte proizvod na sajtu -&gt;")</f>
        <v> Pogledajte proizvod na sajtu -&gt;</v>
      </c>
    </row>
    <row r="18" spans="1:6" ht="12.75">
      <c r="A18" s="2">
        <v>17</v>
      </c>
      <c r="B18" t="s">
        <v>1526</v>
      </c>
      <c r="C18" t="s">
        <v>1525</v>
      </c>
      <c r="D18" s="2">
        <v>172</v>
      </c>
      <c r="E18" s="2">
        <v>3</v>
      </c>
      <c r="F18" s="3" t="str">
        <f>HYPERLINK("http://www.sah.co.rs/gob-2a-yw.html?___store=serbian"," Pogledajte proizvod na sajtu -&gt;")</f>
        <v> Pogledajte proizvod na sajtu -&gt;</v>
      </c>
    </row>
    <row r="19" spans="1:6" ht="12.75">
      <c r="A19" s="2">
        <v>18</v>
      </c>
      <c r="B19" t="s">
        <v>1527</v>
      </c>
      <c r="C19" t="s">
        <v>1528</v>
      </c>
      <c r="D19" s="2">
        <v>36</v>
      </c>
      <c r="E19" s="2">
        <v>4</v>
      </c>
      <c r="F19" s="3" t="str">
        <f>HYPERLINK("http://www.sah.co.rs/gob-3a-yw.html?___store=serbian"," Pogledajte proizvod na sajtu -&gt;")</f>
        <v> Pogledajte proizvod na sajtu -&gt;</v>
      </c>
    </row>
    <row r="20" spans="1:6" ht="12.75">
      <c r="A20" s="2">
        <v>19</v>
      </c>
      <c r="B20" t="s">
        <v>1529</v>
      </c>
      <c r="C20" t="s">
        <v>1528</v>
      </c>
      <c r="D20" s="2">
        <v>27</v>
      </c>
      <c r="E20" s="2">
        <v>4</v>
      </c>
      <c r="F20" s="3" t="str">
        <f>HYPERLINK("http://www.sah.co.rs/gob-3a-gw.html?___store=serbian"," Pogledajte proizvod na sajtu -&gt;")</f>
        <v> Pogledajte proizvod na sajtu -&gt;</v>
      </c>
    </row>
    <row r="21" spans="1:6" ht="12.75">
      <c r="A21" s="2">
        <v>20</v>
      </c>
      <c r="B21" t="s">
        <v>1530</v>
      </c>
      <c r="C21" t="s">
        <v>1531</v>
      </c>
      <c r="D21" s="2">
        <v>359</v>
      </c>
      <c r="E21" s="2">
        <v>2</v>
      </c>
      <c r="F21" s="3" t="str">
        <f>HYPERLINK("http://www.sah.co.rs/gob-1a-yw.html?___store=serbian"," Pogledajte proizvod na sajtu -&gt;")</f>
        <v> Pogledajte proizvod na sajtu -&gt;</v>
      </c>
    </row>
    <row r="22" spans="1:6" ht="12.75">
      <c r="A22" s="2">
        <v>21</v>
      </c>
      <c r="B22" t="s">
        <v>1532</v>
      </c>
      <c r="C22" t="s">
        <v>1531</v>
      </c>
      <c r="D22" s="2">
        <v>46</v>
      </c>
      <c r="E22" s="2">
        <v>2</v>
      </c>
      <c r="F22" s="3" t="str">
        <f>HYPERLINK("http://www.sah.co.rs/gob-1a-gw.html?___store=serbian"," Pogledajte proizvod na sajtu -&gt;")</f>
        <v> Pogledajte proizvod na sajtu -&gt;</v>
      </c>
    </row>
    <row r="23" spans="1:6" ht="12.75">
      <c r="A23" s="2">
        <v>22</v>
      </c>
      <c r="B23" t="s">
        <v>1533</v>
      </c>
      <c r="C23" t="s">
        <v>1534</v>
      </c>
      <c r="D23" s="2">
        <v>5</v>
      </c>
      <c r="E23" s="2">
        <v>0.7</v>
      </c>
      <c r="F23" s="3" t="str">
        <f>HYPERLINK("http://www.sah.co.rs/bx1y.html?___store=serbian"," Pogledajte proizvod na sajtu -&gt;")</f>
        <v> Pogledajte proizvod na sajtu -&gt;</v>
      </c>
    </row>
    <row r="24" spans="1:6" ht="12.75">
      <c r="A24" s="2">
        <v>23</v>
      </c>
      <c r="B24" t="s">
        <v>1535</v>
      </c>
      <c r="C24" t="s">
        <v>1536</v>
      </c>
      <c r="D24" s="2">
        <v>137</v>
      </c>
      <c r="E24" s="2">
        <v>4</v>
      </c>
      <c r="F24" s="3" t="str">
        <f>HYPERLINK("http://www.sah.co.rs/tj-ag-0813-q2.html?___store=serbian"," Pogledajte proizvod na sajtu -&gt;")</f>
        <v> Pogledajte proizvod na sajtu -&gt;</v>
      </c>
    </row>
    <row r="25" spans="1:6" ht="12.75">
      <c r="A25" s="2">
        <v>24</v>
      </c>
      <c r="B25" t="s">
        <v>1537</v>
      </c>
      <c r="C25" t="s">
        <v>1538</v>
      </c>
      <c r="D25" s="2">
        <v>63</v>
      </c>
      <c r="E25" s="2">
        <v>5</v>
      </c>
      <c r="F25" s="3" t="str">
        <f>HYPERLINK("http://www.sah.co.rs/tj-ag-0818-q3.html?___store=serbian"," Pogledajte proizvod na sajtu -&gt;")</f>
        <v> Pogledajte proizvod na sajtu -&gt;</v>
      </c>
    </row>
    <row r="26" spans="1:6" ht="12.75">
      <c r="A26" s="2">
        <v>25</v>
      </c>
      <c r="B26" t="s">
        <v>1539</v>
      </c>
      <c r="C26" t="s">
        <v>1540</v>
      </c>
      <c r="D26" s="2">
        <v>37</v>
      </c>
      <c r="E26" s="2">
        <v>5.5</v>
      </c>
      <c r="F26" s="3" t="str">
        <f>HYPERLINK("http://www.sah.co.rs/tj-ag-0825-q4.html?___store=serbian"," Pogledajte proizvod na sajtu -&gt;")</f>
        <v> Pogledajte proizvod na sajtu -&gt;</v>
      </c>
    </row>
    <row r="27" spans="1:6" ht="12.75">
      <c r="A27" s="2">
        <v>26</v>
      </c>
      <c r="B27" t="s">
        <v>1541</v>
      </c>
      <c r="C27" t="s">
        <v>1542</v>
      </c>
      <c r="D27" s="2">
        <v>291</v>
      </c>
      <c r="E27" s="2">
        <v>3.7</v>
      </c>
      <c r="F27" s="3" t="str">
        <f>HYPERLINK("http://www.sah.co.rs/tj-ag-0808-q1.html?___store=serbian"," Pogledajte proizvod na sajtu -&gt;")</f>
        <v> Pogledajte proizvod na sajtu -&gt;</v>
      </c>
    </row>
    <row r="28" spans="1:6" ht="12.75">
      <c r="A28" s="2">
        <v>27</v>
      </c>
      <c r="B28" t="s">
        <v>1543</v>
      </c>
      <c r="C28" t="s">
        <v>1544</v>
      </c>
      <c r="D28" s="2">
        <v>193</v>
      </c>
      <c r="E28" s="2">
        <v>15</v>
      </c>
      <c r="F28" s="3" t="str">
        <f>HYPERLINK("http://www.sah.co.rs/te-ag-1929.html?___store=serbian"," Pogledajte proizvod na sajtu -&gt;")</f>
        <v> Pogledajte proizvod na sajtu -&gt;</v>
      </c>
    </row>
    <row r="29" spans="1:6" ht="12.75">
      <c r="A29" s="2">
        <v>28</v>
      </c>
      <c r="B29" t="s">
        <v>1545</v>
      </c>
      <c r="C29" t="s">
        <v>1546</v>
      </c>
      <c r="D29" s="2">
        <v>3</v>
      </c>
      <c r="E29" s="2">
        <v>38</v>
      </c>
      <c r="F29" s="3" t="str">
        <f>HYPERLINK("http://www.sah.co.rs/tj-mg-3040.html?___store=serbian"," Pogledajte proizvod na sajtu -&gt;")</f>
        <v> Pogledajte proizvod na sajtu -&gt;</v>
      </c>
    </row>
    <row r="30" spans="1:6" ht="12.75">
      <c r="A30" s="2">
        <v>29</v>
      </c>
      <c r="B30" t="s">
        <v>1547</v>
      </c>
      <c r="C30" t="s">
        <v>1548</v>
      </c>
      <c r="D30" s="2">
        <v>42</v>
      </c>
      <c r="E30" s="2">
        <v>25</v>
      </c>
      <c r="F30" s="3" t="str">
        <f>HYPERLINK("http://www.sah.co.rs/te-ag-2535.html?___store=serbian"," Pogledajte proizvod na sajtu -&gt;")</f>
        <v> Pogledajte proizvod na sajtu -&gt;</v>
      </c>
    </row>
    <row r="31" spans="1:6" ht="12.75">
      <c r="A31" s="2">
        <v>30</v>
      </c>
      <c r="B31" t="s">
        <v>1549</v>
      </c>
      <c r="C31" t="s">
        <v>1548</v>
      </c>
      <c r="D31" s="2">
        <v>10</v>
      </c>
      <c r="E31" s="2">
        <v>30</v>
      </c>
      <c r="F31" s="3" t="str">
        <f>HYPERLINK("http://www.sah.co.rs/te-at-2535.html?___store=serbian"," Pogledajte proizvod na sajtu -&gt;")</f>
        <v> Pogledajte proizvod na sajtu -&gt;</v>
      </c>
    </row>
    <row r="32" spans="1:6" ht="12.75">
      <c r="A32" s="2">
        <v>31</v>
      </c>
      <c r="B32" t="s">
        <v>1550</v>
      </c>
      <c r="C32" t="s">
        <v>1551</v>
      </c>
      <c r="D32" s="2">
        <v>11</v>
      </c>
      <c r="E32" s="2">
        <v>60</v>
      </c>
      <c r="F32" s="3" t="str">
        <f>HYPERLINK("http://www.sah.co.rs/tj-mg-4050.html?___store=serbian"," Pogledajte proizvod na sajtu -&gt;")</f>
        <v> Pogledajte proizvod na sajtu -&gt;</v>
      </c>
    </row>
    <row r="33" spans="1:6" ht="12.75">
      <c r="A33" s="2">
        <v>32</v>
      </c>
      <c r="B33" t="s">
        <v>1552</v>
      </c>
      <c r="C33" t="s">
        <v>1553</v>
      </c>
      <c r="D33" s="2">
        <v>7</v>
      </c>
      <c r="E33" s="2">
        <v>150</v>
      </c>
      <c r="F33" s="3" t="str">
        <f>HYPERLINK("http://www.sah.co.rs/stdd10-630.html?___store=serbian"," Pogledajte proizvod na sajtu -&gt;")</f>
        <v> Pogledajte proizvod na sajtu -&gt;</v>
      </c>
    </row>
    <row r="34" spans="1:6" ht="12.75">
      <c r="A34" s="2">
        <v>33</v>
      </c>
      <c r="B34" t="s">
        <v>1554</v>
      </c>
      <c r="C34" t="s">
        <v>1555</v>
      </c>
      <c r="D34" s="2">
        <v>86</v>
      </c>
      <c r="E34" s="2">
        <v>18</v>
      </c>
      <c r="F34" s="3" t="str">
        <f>HYPERLINK("http://www.sah.co.rs/st2-2515.html?___store=serbian"," Pogledajte proizvod na sajtu -&gt;")</f>
        <v> Pogledajte proizvod na sajtu -&gt;</v>
      </c>
    </row>
    <row r="35" spans="1:6" ht="12.75">
      <c r="A35" s="2">
        <v>34</v>
      </c>
      <c r="B35" t="s">
        <v>1556</v>
      </c>
      <c r="C35" t="s">
        <v>1557</v>
      </c>
      <c r="D35" s="2">
        <v>22</v>
      </c>
      <c r="E35" s="2">
        <v>19</v>
      </c>
      <c r="F35" s="3" t="str">
        <f>HYPERLINK("http://www.sah.co.rs/st2-315.html?___store=serbian"," Pogledajte proizvod na sajtu -&gt;")</f>
        <v> Pogledajte proizvod na sajtu -&gt;</v>
      </c>
    </row>
    <row r="36" spans="1:6" ht="12.75">
      <c r="A36" s="2">
        <v>35</v>
      </c>
      <c r="B36" t="s">
        <v>1558</v>
      </c>
      <c r="C36" t="s">
        <v>1559</v>
      </c>
      <c r="D36" s="2">
        <v>0</v>
      </c>
      <c r="E36" s="2">
        <v>20</v>
      </c>
      <c r="F36" s="3" t="str">
        <f>HYPERLINK("http://www.sah.co.rs/st25-315.html?___store=serbian"," Pogledajte proizvod na sajtu -&gt;")</f>
        <v> Pogledajte proizvod na sajtu -&gt;</v>
      </c>
    </row>
    <row r="37" spans="1:6" ht="12.75">
      <c r="A37" s="2">
        <v>36</v>
      </c>
      <c r="B37" t="s">
        <v>1560</v>
      </c>
      <c r="C37" t="s">
        <v>1561</v>
      </c>
      <c r="D37" s="2">
        <v>79</v>
      </c>
      <c r="E37" s="2">
        <v>21</v>
      </c>
      <c r="F37" s="3" t="str">
        <f>HYPERLINK("http://www.sah.co.rs/st25-320.html?___store=serbian"," Pogledajte proizvod na sajtu -&gt;")</f>
        <v> Pogledajte proizvod na sajtu -&gt;</v>
      </c>
    </row>
    <row r="38" spans="1:6" ht="12.75">
      <c r="A38" s="2">
        <v>37</v>
      </c>
      <c r="B38" t="s">
        <v>1562</v>
      </c>
      <c r="C38" t="s">
        <v>1563</v>
      </c>
      <c r="D38" s="2">
        <v>118</v>
      </c>
      <c r="E38" s="2">
        <v>28.5</v>
      </c>
      <c r="F38" s="3" t="str">
        <f>HYPERLINK("http://www.sah.co.rs/st3-420.html?___store=serbian"," Pogledajte proizvod na sajtu -&gt;")</f>
        <v> Pogledajte proizvod na sajtu -&gt;</v>
      </c>
    </row>
    <row r="39" spans="1:6" ht="12.75">
      <c r="A39" s="2">
        <v>38</v>
      </c>
      <c r="B39" t="s">
        <v>1564</v>
      </c>
      <c r="C39" t="s">
        <v>1565</v>
      </c>
      <c r="D39" s="2">
        <v>9</v>
      </c>
      <c r="E39" s="2">
        <v>30</v>
      </c>
      <c r="F39" s="3" t="str">
        <f>HYPERLINK("http://www.sah.co.rs/st3-425.html?___store=serbian"," Pogledajte proizvod na sajtu -&gt;")</f>
        <v> Pogledajte proizvod na sajtu -&gt;</v>
      </c>
    </row>
    <row r="40" spans="1:6" ht="12.75">
      <c r="A40" s="2">
        <v>39</v>
      </c>
      <c r="B40" t="s">
        <v>1566</v>
      </c>
      <c r="C40" t="s">
        <v>1567</v>
      </c>
      <c r="D40" s="2">
        <v>20</v>
      </c>
      <c r="E40" s="2">
        <v>26</v>
      </c>
      <c r="F40" s="3" t="str">
        <f>HYPERLINK("http://www.sah.co.rs/st4-315.html?___store=serbian"," Pogledajte proizvod na sajtu -&gt;")</f>
        <v> Pogledajte proizvod na sajtu -&gt;</v>
      </c>
    </row>
    <row r="41" spans="1:6" ht="12.75">
      <c r="A41" s="2">
        <v>40</v>
      </c>
      <c r="B41" t="s">
        <v>1568</v>
      </c>
      <c r="C41" t="s">
        <v>1569</v>
      </c>
      <c r="D41" s="2">
        <v>42</v>
      </c>
      <c r="E41" s="2">
        <v>55</v>
      </c>
      <c r="F41" s="3" t="str">
        <f>HYPERLINK("http://www.sah.co.rs/stip4-420.html?___store=serbian"," Pogledajte proizvod na sajtu -&gt;")</f>
        <v> Pogledajte proizvod na sajtu -&gt;</v>
      </c>
    </row>
    <row r="42" spans="1:6" ht="12.75">
      <c r="A42" s="2">
        <v>41</v>
      </c>
      <c r="B42" t="s">
        <v>1570</v>
      </c>
      <c r="C42" t="s">
        <v>1569</v>
      </c>
      <c r="D42" s="2">
        <v>105</v>
      </c>
      <c r="E42" s="2">
        <v>34</v>
      </c>
      <c r="F42" s="3" t="str">
        <f>HYPERLINK("http://www.sah.co.rs/st4-420.html?___store=serbian"," Pogledajte proizvod na sajtu -&gt;")</f>
        <v> Pogledajte proizvod na sajtu -&gt;</v>
      </c>
    </row>
    <row r="43" spans="1:6" ht="12.75">
      <c r="A43" s="2">
        <v>42</v>
      </c>
      <c r="B43" t="s">
        <v>1571</v>
      </c>
      <c r="C43" t="s">
        <v>1572</v>
      </c>
      <c r="D43" s="2">
        <v>44</v>
      </c>
      <c r="E43" s="2">
        <v>36</v>
      </c>
      <c r="F43" s="3" t="str">
        <f>HYPERLINK("http://www.sah.co.rs/st4-425.html?___store=serbian"," Pogledajte proizvod na sajtu -&gt;")</f>
        <v> Pogledajte proizvod na sajtu -&gt;</v>
      </c>
    </row>
    <row r="44" spans="1:6" ht="12.75">
      <c r="A44" s="2">
        <v>43</v>
      </c>
      <c r="B44" t="s">
        <v>1573</v>
      </c>
      <c r="C44" t="s">
        <v>1574</v>
      </c>
      <c r="D44" s="2">
        <v>4</v>
      </c>
      <c r="E44" s="2">
        <v>38</v>
      </c>
      <c r="F44" s="3" t="str">
        <f>HYPERLINK("http://www.sah.co.rs/st4-520.html?___store=serbian"," Pogledajte proizvod na sajtu -&gt;")</f>
        <v> Pogledajte proizvod na sajtu -&gt;</v>
      </c>
    </row>
    <row r="45" spans="1:6" ht="12.75">
      <c r="A45" s="2">
        <v>44</v>
      </c>
      <c r="B45" t="s">
        <v>1575</v>
      </c>
      <c r="C45" t="s">
        <v>1576</v>
      </c>
      <c r="D45" s="2">
        <v>9</v>
      </c>
      <c r="E45" s="2">
        <v>72</v>
      </c>
      <c r="F45" s="3" t="str">
        <f>HYPERLINK("http://www.sah.co.rs/stip4-620.html?___store=serbian"," Pogledajte proizvod na sajtu -&gt;")</f>
        <v> Pogledajte proizvod na sajtu -&gt;</v>
      </c>
    </row>
    <row r="46" spans="1:6" ht="12.75">
      <c r="A46" s="2">
        <v>45</v>
      </c>
      <c r="B46" t="s">
        <v>1577</v>
      </c>
      <c r="C46" t="s">
        <v>1576</v>
      </c>
      <c r="D46" s="2">
        <v>51</v>
      </c>
      <c r="E46" s="2">
        <v>44</v>
      </c>
      <c r="F46" s="3" t="str">
        <f>HYPERLINK("http://www.sah.co.rs/st4-620.html?___store=serbian"," Pogledajte proizvod na sajtu -&gt;")</f>
        <v> Pogledajte proizvod na sajtu -&gt;</v>
      </c>
    </row>
    <row r="47" spans="1:6" ht="12.75">
      <c r="A47" s="2">
        <v>46</v>
      </c>
      <c r="B47" t="s">
        <v>1578</v>
      </c>
      <c r="C47" t="s">
        <v>1579</v>
      </c>
      <c r="D47" s="2">
        <v>17</v>
      </c>
      <c r="E47" s="2">
        <v>50</v>
      </c>
      <c r="F47" s="3" t="str">
        <f>HYPERLINK("http://www.sah.co.rs/st4-625.html?___store=serbian"," Pogledajte proizvod na sajtu -&gt;")</f>
        <v> Pogledajte proizvod na sajtu -&gt;</v>
      </c>
    </row>
    <row r="48" spans="1:6" ht="12.75">
      <c r="A48" s="2">
        <v>47</v>
      </c>
      <c r="B48" t="s">
        <v>1580</v>
      </c>
      <c r="C48" t="s">
        <v>1581</v>
      </c>
      <c r="D48" s="2">
        <v>12</v>
      </c>
      <c r="E48" s="2">
        <v>70</v>
      </c>
      <c r="F48" s="3" t="str">
        <f>HYPERLINK("http://www.sah.co.rs/st6-630.html?___store=serbian"," Pogledajte proizvod na sajtu -&gt;")</f>
        <v> Pogledajte proizvod na sajtu -&gt;</v>
      </c>
    </row>
    <row r="49" spans="1:6" ht="12.75">
      <c r="A49" s="2">
        <v>48</v>
      </c>
      <c r="B49" t="s">
        <v>1582</v>
      </c>
      <c r="C49" t="s">
        <v>1583</v>
      </c>
      <c r="D49" s="2">
        <v>24</v>
      </c>
      <c r="E49" s="2">
        <v>90</v>
      </c>
      <c r="F49" s="3" t="str">
        <f>HYPERLINK("http://www.sah.co.rs/st6-820.html?___store=serbian"," Pogledajte proizvod na sajtu -&gt;")</f>
        <v> Pogledajte proizvod na sajtu -&gt;</v>
      </c>
    </row>
    <row r="50" spans="1:6" ht="12.75">
      <c r="A50" s="2">
        <v>49</v>
      </c>
      <c r="B50" t="s">
        <v>1584</v>
      </c>
      <c r="C50" t="s">
        <v>1585</v>
      </c>
      <c r="D50" s="2">
        <v>8</v>
      </c>
      <c r="E50" s="2">
        <v>100</v>
      </c>
      <c r="F50" s="3" t="str">
        <f>HYPERLINK("http://www.sah.co.rs/st6-830.html?___store=serbian"," Pogledajte proizvod na sajtu -&gt;")</f>
        <v> Pogledajte proizvod na sajtu -&gt;</v>
      </c>
    </row>
    <row r="51" spans="1:6" ht="12.75">
      <c r="A51" s="2">
        <v>50</v>
      </c>
      <c r="B51" t="s">
        <v>1586</v>
      </c>
      <c r="C51" t="s">
        <v>1587</v>
      </c>
      <c r="D51" s="2">
        <v>1</v>
      </c>
      <c r="E51" s="2">
        <v>180</v>
      </c>
      <c r="F51" s="3" t="str">
        <f>HYPERLINK("http://www.sah.co.rs/stxip4-420.html?___store=serbian"," Pogledajte proizvod na sajtu -&gt;")</f>
        <v> Pogledajte proizvod na sajtu -&gt;</v>
      </c>
    </row>
    <row r="52" spans="1:6" ht="12.75">
      <c r="A52" s="2">
        <v>51</v>
      </c>
      <c r="B52" t="s">
        <v>1588</v>
      </c>
      <c r="C52" t="s">
        <v>1589</v>
      </c>
      <c r="D52" s="2">
        <v>7</v>
      </c>
      <c r="E52" s="2">
        <v>210</v>
      </c>
      <c r="F52" s="3" t="str">
        <f>HYPERLINK("http://www.sah.co.rs/stxip4-520.html?___store=serbian"," Pogledajte proizvod na sajtu -&gt;")</f>
        <v> Pogledajte proizvod na sajtu -&gt;</v>
      </c>
    </row>
    <row r="53" spans="1:6" ht="12.75">
      <c r="A53" s="2">
        <v>52</v>
      </c>
      <c r="B53" t="s">
        <v>1590</v>
      </c>
      <c r="C53" t="s">
        <v>1591</v>
      </c>
      <c r="D53" s="2">
        <v>7</v>
      </c>
      <c r="E53" s="2">
        <v>280</v>
      </c>
      <c r="F53" s="3" t="str">
        <f>HYPERLINK("http://www.sah.co.rs/stx6-625.html?___store=serbian"," Pogledajte proizvod na sajtu -&gt;")</f>
        <v> Pogledajte proizvod na sajtu -&gt;</v>
      </c>
    </row>
    <row r="54" spans="1:6" ht="12.75">
      <c r="A54" s="2">
        <v>53</v>
      </c>
      <c r="B54" t="s">
        <v>1592</v>
      </c>
      <c r="C54" t="s">
        <v>1593</v>
      </c>
      <c r="D54" s="2">
        <v>9</v>
      </c>
      <c r="E54" s="2">
        <v>400</v>
      </c>
      <c r="F54" s="3" t="str">
        <f>HYPERLINK("http://www.sah.co.rs/stx6-825.html?___store=serbian"," Pogledajte proizvod na sajtu -&gt;")</f>
        <v> Pogledajte proizvod na sajtu -&gt;</v>
      </c>
    </row>
    <row r="55" spans="1:6" ht="12.75">
      <c r="A55" s="2">
        <v>54</v>
      </c>
      <c r="B55" t="s">
        <v>1594</v>
      </c>
      <c r="C55" t="s">
        <v>1595</v>
      </c>
      <c r="D55" s="2">
        <v>27</v>
      </c>
      <c r="E55" s="2">
        <v>40</v>
      </c>
      <c r="F55" s="3" t="str">
        <f>HYPERLINK("http://www.sah.co.rs/tip-430.html?___store=serbian"," Pogledajte proizvod na sajtu -&gt;")</f>
        <v> Pogledajte proizvod na sajtu -&gt;</v>
      </c>
    </row>
    <row r="56" spans="1:6" ht="12.75">
      <c r="A56" s="2">
        <v>55</v>
      </c>
      <c r="B56" t="s">
        <v>1596</v>
      </c>
      <c r="C56" t="s">
        <v>1597</v>
      </c>
      <c r="D56" s="2">
        <v>84</v>
      </c>
      <c r="E56" s="2">
        <v>55</v>
      </c>
      <c r="F56" s="3" t="str">
        <f>HYPERLINK("http://www.sah.co.rs/tip-440.html?___store=serbian"," Pogledajte proizvod na sajtu -&gt;")</f>
        <v> Pogledajte proizvod na sajtu -&gt;</v>
      </c>
    </row>
    <row r="57" spans="1:6" ht="12.75">
      <c r="A57" s="2">
        <v>56</v>
      </c>
      <c r="B57" t="s">
        <v>1598</v>
      </c>
      <c r="C57" t="s">
        <v>1599</v>
      </c>
      <c r="D57" s="2">
        <v>19</v>
      </c>
      <c r="E57" s="2">
        <v>72</v>
      </c>
      <c r="F57" s="3" t="str">
        <f>HYPERLINK("http://www.sah.co.rs/tip-640.html?___store=serbian"," Pogledajte proizvod na sajtu -&gt;")</f>
        <v> Pogledajte proizvod na sajtu -&gt;</v>
      </c>
    </row>
    <row r="58" spans="1:6" ht="12.75">
      <c r="A58" s="2">
        <v>57</v>
      </c>
      <c r="B58" t="s">
        <v>1600</v>
      </c>
      <c r="C58" t="s">
        <v>1599</v>
      </c>
      <c r="D58" s="2">
        <v>1</v>
      </c>
      <c r="E58" s="2">
        <v>80</v>
      </c>
      <c r="F58" s="3" t="str">
        <f>HYPERLINK("http://www.sah.co.rs/tx-64.html?___store=serbian"," Pogledajte proizvod na sajtu -&gt;")</f>
        <v> Pogledajte proizvod na sajtu -&gt;</v>
      </c>
    </row>
    <row r="59" spans="1:6" ht="12.75">
      <c r="A59" s="2">
        <v>58</v>
      </c>
      <c r="B59" t="s">
        <v>1601</v>
      </c>
      <c r="C59" t="s">
        <v>1602</v>
      </c>
      <c r="D59" s="2">
        <v>10</v>
      </c>
      <c r="E59" s="2">
        <v>150</v>
      </c>
      <c r="F59" s="3" t="str">
        <f>HYPERLINK("http://www.sah.co.rs/tx-86.html?___store=serbian"," Pogledajte proizvod na sajtu -&gt;")</f>
        <v> Pogledajte proizvod na sajtu -&gt;</v>
      </c>
    </row>
    <row r="60" spans="1:6" ht="12.75">
      <c r="A60" s="2">
        <v>59</v>
      </c>
      <c r="B60" t="s">
        <v>1603</v>
      </c>
      <c r="C60" t="s">
        <v>1604</v>
      </c>
      <c r="D60" s="2">
        <v>0</v>
      </c>
      <c r="E60" s="2">
        <v>1.6</v>
      </c>
      <c r="F60" s="3" t="str">
        <f>HYPERLINK("http://www.sah.co.rs/pk-1010.html?___store=serbian"," Pogledajte proizvod na sajtu -&gt;")</f>
        <v> Pogledajte proizvod na sajtu -&gt;</v>
      </c>
    </row>
    <row r="61" spans="1:6" ht="12.75">
      <c r="A61" s="2">
        <v>60</v>
      </c>
      <c r="B61" t="s">
        <v>1605</v>
      </c>
      <c r="C61" t="s">
        <v>1606</v>
      </c>
      <c r="D61" s="2">
        <v>8</v>
      </c>
      <c r="E61" s="2">
        <v>2.2</v>
      </c>
      <c r="F61" s="3" t="str">
        <f>HYPERLINK("http://www.sah.co.rs/pk-1511.html?___store=serbian"," Pogledajte proizvod na sajtu -&gt;")</f>
        <v> Pogledajte proizvod na sajtu -&gt;</v>
      </c>
    </row>
    <row r="62" spans="1:6" ht="12.75">
      <c r="A62" s="2">
        <v>61</v>
      </c>
      <c r="B62" t="s">
        <v>1607</v>
      </c>
      <c r="C62" t="s">
        <v>1608</v>
      </c>
      <c r="D62" s="2">
        <v>16</v>
      </c>
      <c r="E62" s="2">
        <v>2.4</v>
      </c>
      <c r="F62" s="3" t="str">
        <f>HYPERLINK("http://www.sah.co.rs/pk-1515.html?___store=serbian"," Pogledajte proizvod na sajtu -&gt;")</f>
        <v> Pogledajte proizvod na sajtu -&gt;</v>
      </c>
    </row>
    <row r="63" spans="1:6" ht="12.75">
      <c r="A63" s="2">
        <v>62</v>
      </c>
      <c r="B63" t="s">
        <v>1609</v>
      </c>
      <c r="C63" t="s">
        <v>1610</v>
      </c>
      <c r="D63" s="2">
        <v>151</v>
      </c>
      <c r="E63" s="2">
        <v>9.5</v>
      </c>
      <c r="F63" s="3" t="str">
        <f>HYPERLINK("http://www.sah.co.rs/tb-agr-1924-1.html?___store=serbian"," Pogledajte proizvod na sajtu -&gt;")</f>
        <v> Pogledajte proizvod na sajtu -&gt;</v>
      </c>
    </row>
    <row r="64" spans="1:6" ht="12.75">
      <c r="A64" s="2">
        <v>63</v>
      </c>
      <c r="B64" t="s">
        <v>1611</v>
      </c>
      <c r="C64" t="s">
        <v>1612</v>
      </c>
      <c r="D64" s="2">
        <v>81</v>
      </c>
      <c r="E64" s="2">
        <v>2.4</v>
      </c>
      <c r="F64" s="3" t="str">
        <f>HYPERLINK("http://www.sah.co.rs/pk-2011.html?___store=serbian"," Pogledajte proizvod na sajtu -&gt;")</f>
        <v> Pogledajte proizvod na sajtu -&gt;</v>
      </c>
    </row>
    <row r="65" spans="1:6" ht="12.75">
      <c r="A65" s="2">
        <v>64</v>
      </c>
      <c r="B65" t="s">
        <v>1613</v>
      </c>
      <c r="C65" t="s">
        <v>1614</v>
      </c>
      <c r="D65" s="2">
        <v>7</v>
      </c>
      <c r="E65" s="2">
        <v>2.4</v>
      </c>
      <c r="F65" s="3" t="str">
        <f>HYPERLINK("http://www.sah.co.rs/pk-2010.html?___store=serbian"," Pogledajte proizvod na sajtu -&gt;")</f>
        <v> Pogledajte proizvod na sajtu -&gt;</v>
      </c>
    </row>
    <row r="66" spans="1:6" ht="12.75">
      <c r="A66" s="2">
        <v>65</v>
      </c>
      <c r="B66" t="s">
        <v>1615</v>
      </c>
      <c r="C66" t="s">
        <v>1616</v>
      </c>
      <c r="D66" s="2">
        <v>0</v>
      </c>
      <c r="E66" s="2">
        <v>3.5</v>
      </c>
      <c r="F66" s="3" t="str">
        <f>HYPERLINK("http://www.sah.co.rs/pk-2015.html?___store=serbian"," Pogledajte proizvod na sajtu -&gt;")</f>
        <v> Pogledajte proizvod na sajtu -&gt;</v>
      </c>
    </row>
    <row r="67" spans="1:6" ht="12.75">
      <c r="A67" s="2">
        <v>66</v>
      </c>
      <c r="B67" t="s">
        <v>1617</v>
      </c>
      <c r="C67" t="s">
        <v>1618</v>
      </c>
      <c r="D67" s="2">
        <v>42</v>
      </c>
      <c r="E67" s="2">
        <v>4.5</v>
      </c>
      <c r="F67" s="3" t="str">
        <f>HYPERLINK("http://www.sah.co.rs/pk-2020.html?___store=serbian"," Pogledajte proizvod na sajtu -&gt;")</f>
        <v> Pogledajte proizvod na sajtu -&gt;</v>
      </c>
    </row>
    <row r="68" spans="1:6" ht="12.75">
      <c r="A68" s="2">
        <v>67</v>
      </c>
      <c r="B68" t="s">
        <v>1619</v>
      </c>
      <c r="C68" t="s">
        <v>1620</v>
      </c>
      <c r="D68" s="2">
        <v>2</v>
      </c>
      <c r="E68" s="2">
        <v>5</v>
      </c>
      <c r="F68" s="3" t="str">
        <f>HYPERLINK("http://www.sah.co.rs/pk-2520.html?___store=serbian"," Pogledajte proizvod na sajtu -&gt;")</f>
        <v> Pogledajte proizvod na sajtu -&gt;</v>
      </c>
    </row>
    <row r="69" spans="1:6" ht="12.75">
      <c r="A69" s="2">
        <v>68</v>
      </c>
      <c r="B69" t="s">
        <v>1621</v>
      </c>
      <c r="C69" t="s">
        <v>1622</v>
      </c>
      <c r="D69" s="2">
        <v>83</v>
      </c>
      <c r="E69" s="2">
        <v>18.5</v>
      </c>
      <c r="F69" s="3" t="str">
        <f>HYPERLINK("http://www.sah.co.rs/tb-agr-3038.html?___store=serbian","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9.28125" style="0" customWidth="1"/>
    <col min="3" max="3" width="76.71093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1623</v>
      </c>
      <c r="C2" t="s">
        <v>1624</v>
      </c>
      <c r="D2" s="2">
        <v>100</v>
      </c>
      <c r="E2" s="2">
        <v>6.8</v>
      </c>
      <c r="F2" s="3" t="str">
        <f>HYPERLINK("http://www.sah.co.rs/avg-m20.html?___store=serbian"," Pogledajte proizvod na sajtu -&gt;")</f>
        <v> Pogledajte proizvod na sajtu -&gt;</v>
      </c>
    </row>
    <row r="3" spans="1:6" ht="12.75">
      <c r="A3" s="2">
        <v>2</v>
      </c>
      <c r="B3" t="s">
        <v>1625</v>
      </c>
      <c r="C3" t="s">
        <v>1626</v>
      </c>
      <c r="D3" s="2">
        <v>31</v>
      </c>
      <c r="E3" s="2">
        <v>3</v>
      </c>
      <c r="F3" s="3" t="str">
        <f>HYPERLINK("http://www.sah.co.rs/ms407.html?___store=serbian"," Pogledajte proizvod na sajtu -&gt;")</f>
        <v> Pogledajte proizvod na sajtu -&gt;</v>
      </c>
    </row>
    <row r="4" spans="1:6" ht="12.75">
      <c r="A4" s="2">
        <v>3</v>
      </c>
      <c r="B4" t="s">
        <v>1627</v>
      </c>
      <c r="C4" t="s">
        <v>1628</v>
      </c>
      <c r="D4" s="2">
        <v>14</v>
      </c>
      <c r="E4" s="2">
        <v>4.3</v>
      </c>
      <c r="F4" s="3" t="str">
        <f>HYPERLINK("http://www.sah.co.rs/tj-2535.html?___store=serbian"," Pogledajte proizvod na sajtu -&gt;")</f>
        <v> Pogledajte proizvod na sajtu -&gt;</v>
      </c>
    </row>
    <row r="5" spans="1:6" ht="12.75">
      <c r="A5" s="2">
        <v>4</v>
      </c>
      <c r="B5" t="s">
        <v>1629</v>
      </c>
      <c r="C5" t="s">
        <v>1630</v>
      </c>
      <c r="D5" s="2">
        <v>30</v>
      </c>
      <c r="E5" s="2">
        <v>5.5</v>
      </c>
      <c r="F5" s="3" t="str">
        <f>HYPERLINK("http://www.sah.co.rs/ti-43.html?___store=serbian"," Pogledajte proizvod na sajtu -&gt;")</f>
        <v> Pogledajte proizvod na sajtu -&gt;</v>
      </c>
    </row>
    <row r="6" spans="1:6" ht="12.75">
      <c r="A6" s="2">
        <v>5</v>
      </c>
      <c r="B6" t="s">
        <v>1631</v>
      </c>
      <c r="C6" t="s">
        <v>1632</v>
      </c>
      <c r="D6" s="2">
        <v>84</v>
      </c>
      <c r="E6" s="2">
        <v>7</v>
      </c>
      <c r="F6" s="3" t="str">
        <f>HYPERLINK("http://www.sah.co.rs/ti-44.html?___store=serbian"," Pogledajte proizvod na sajtu -&gt;")</f>
        <v> Pogledajte proizvod na sajtu -&gt;</v>
      </c>
    </row>
    <row r="7" spans="1:6" ht="12.75">
      <c r="A7" s="2">
        <v>6</v>
      </c>
      <c r="B7" t="s">
        <v>1633</v>
      </c>
      <c r="C7" t="s">
        <v>1634</v>
      </c>
      <c r="D7" s="2">
        <v>19</v>
      </c>
      <c r="E7" s="2">
        <v>10</v>
      </c>
      <c r="F7" s="3" t="str">
        <f>HYPERLINK("http://www.sah.co.rs/ti-64.html?___store=serbian"," Pogledajte proizvod na sajtu -&gt;")</f>
        <v> Pogledajte proizvod na sajtu -&gt;</v>
      </c>
    </row>
    <row r="8" spans="1:6" ht="12.75">
      <c r="A8" s="2">
        <v>7</v>
      </c>
      <c r="B8" t="s">
        <v>1635</v>
      </c>
      <c r="C8" t="s">
        <v>1636</v>
      </c>
      <c r="D8" s="2">
        <v>5</v>
      </c>
      <c r="E8" s="2">
        <v>5.6</v>
      </c>
      <c r="F8" s="3" t="str">
        <f>HYPERLINK("http://www.sah.co.rs/tj-3040.html?___store=serbian"," Pogledajte proizvod na sajtu -&gt;")</f>
        <v> Pogledajte proizvod na sajtu -&gt;</v>
      </c>
    </row>
    <row r="9" spans="1:6" ht="12.75">
      <c r="A9" s="2">
        <v>8</v>
      </c>
      <c r="B9" t="s">
        <v>1637</v>
      </c>
      <c r="C9" t="s">
        <v>1638</v>
      </c>
      <c r="D9" s="2">
        <v>15</v>
      </c>
      <c r="E9" s="2">
        <v>9</v>
      </c>
      <c r="F9" s="3" t="str">
        <f>HYPERLINK("http://www.sah.co.rs/tj-4050.html?___store=serbian"," Pogledajte proizvod na sajtu -&gt;")</f>
        <v> Pogledajte proizvod na sajtu -&gt;</v>
      </c>
    </row>
    <row r="10" spans="1:6" ht="12.75">
      <c r="A10" s="2">
        <v>9</v>
      </c>
      <c r="B10" t="s">
        <v>1639</v>
      </c>
      <c r="C10" t="s">
        <v>1640</v>
      </c>
      <c r="D10" s="2">
        <v>0</v>
      </c>
      <c r="E10" s="2">
        <v>2.6</v>
      </c>
      <c r="F10" s="3" t="str">
        <f>HYPERLINK("http://www.sah.co.rs/tj-1929p.html?___store=serbian"," Pogledajte proizvod na sajtu -&gt;")</f>
        <v> Pogledajte proizvod na sajtu -&gt;</v>
      </c>
    </row>
    <row r="11" spans="1:6" ht="12.75">
      <c r="A11" s="2">
        <v>10</v>
      </c>
      <c r="B11" t="s">
        <v>1641</v>
      </c>
      <c r="C11" t="s">
        <v>1642</v>
      </c>
      <c r="D11" s="2">
        <v>0</v>
      </c>
      <c r="E11" s="2">
        <v>1</v>
      </c>
      <c r="F11" s="3" t="str">
        <f>HYPERLINK("http://www.sah.co.rs/ws02.html?___store=serbian"," Pogledajte proizvod na sajtu -&gt;")</f>
        <v> Pogledajte proizvod na sajtu -&gt;</v>
      </c>
    </row>
    <row r="12" spans="1:6" ht="12.75">
      <c r="A12" s="2">
        <v>11</v>
      </c>
      <c r="B12" t="s">
        <v>1643</v>
      </c>
      <c r="C12" t="s">
        <v>1644</v>
      </c>
      <c r="D12" s="2">
        <v>357</v>
      </c>
      <c r="E12" s="2">
        <v>1</v>
      </c>
      <c r="F12" s="3" t="str">
        <f>HYPERLINK("http://www.sah.co.rs/wl02.html?___store=serbian"," Pogledajte proizvod na sajtu -&gt;")</f>
        <v> Pogledajte proizvod na sajtu -&gt;</v>
      </c>
    </row>
    <row r="13" spans="1:6" ht="12.75">
      <c r="A13" s="2">
        <v>12</v>
      </c>
      <c r="B13" t="s">
        <v>1645</v>
      </c>
      <c r="C13" t="s">
        <v>1646</v>
      </c>
      <c r="D13" s="2">
        <v>98</v>
      </c>
      <c r="E13" s="2">
        <v>6.2</v>
      </c>
      <c r="F13" s="3" t="str">
        <f>HYPERLINK("http://www.sah.co.rs/bc-v60.html?___store=serbian"," Pogledajte proizvod na sajtu -&gt;")</f>
        <v> Pogledajte proizvod na sajtu -&gt;</v>
      </c>
    </row>
    <row r="14" spans="1:6" ht="12.75">
      <c r="A14" s="2">
        <v>13</v>
      </c>
      <c r="B14" t="s">
        <v>1647</v>
      </c>
      <c r="C14" t="s">
        <v>1648</v>
      </c>
      <c r="D14" s="2">
        <v>298</v>
      </c>
      <c r="E14" s="2">
        <v>3.5</v>
      </c>
      <c r="F14" s="3" t="str">
        <f>HYPERLINK("http://www.sah.co.rs/wc001.html?___store=serbian"," Pogledajte proizvod na sajtu -&gt;")</f>
        <v> Pogledajte proizvod na sajtu -&gt;</v>
      </c>
    </row>
    <row r="15" spans="1:6" ht="12.75">
      <c r="A15" s="2">
        <v>14</v>
      </c>
      <c r="B15" t="s">
        <v>1649</v>
      </c>
      <c r="C15" t="s">
        <v>1650</v>
      </c>
      <c r="D15" s="2">
        <v>199</v>
      </c>
      <c r="E15" s="2">
        <v>4</v>
      </c>
      <c r="F15" s="3" t="str">
        <f>HYPERLINK("http://www.sah.co.rs/wc002.html?___store=serbian"," Pogledajte proizvod na sajtu -&gt;")</f>
        <v> Pogledajte proizvod na sajtu -&gt;</v>
      </c>
    </row>
    <row r="16" spans="1:6" ht="12.75">
      <c r="A16" s="2">
        <v>15</v>
      </c>
      <c r="B16" t="s">
        <v>1651</v>
      </c>
      <c r="C16" t="s">
        <v>1652</v>
      </c>
      <c r="D16" s="2">
        <v>99</v>
      </c>
      <c r="E16" s="2">
        <v>4.7</v>
      </c>
      <c r="F16" s="3" t="str">
        <f>HYPERLINK("http://www.sah.co.rs/wc003.html?___store=serbian"," Pogledajte proizvod na sajtu -&gt;")</f>
        <v> Pogledajte proizvod na sajtu -&gt;</v>
      </c>
    </row>
    <row r="17" spans="1:6" ht="12.75">
      <c r="A17" s="2">
        <v>16</v>
      </c>
      <c r="B17" t="s">
        <v>1653</v>
      </c>
      <c r="C17" t="s">
        <v>1654</v>
      </c>
      <c r="D17" s="2">
        <v>89</v>
      </c>
      <c r="E17" s="2">
        <v>2.8</v>
      </c>
      <c r="F17" s="3" t="str">
        <f>HYPERLINK("http://www.sah.co.rs/wa060.html?___store=serbian"," Pogledajte proizvod na sajtu -&gt;")</f>
        <v> Pogledajte proizvod na sajtu -&gt;</v>
      </c>
    </row>
    <row r="18" spans="1:6" ht="12.75">
      <c r="A18" s="2">
        <v>17</v>
      </c>
      <c r="B18" t="s">
        <v>1655</v>
      </c>
      <c r="C18" t="s">
        <v>1656</v>
      </c>
      <c r="D18" s="2">
        <v>94</v>
      </c>
      <c r="E18" s="2">
        <v>5.5</v>
      </c>
      <c r="F18" s="3" t="str">
        <f>HYPERLINK("http://www.sah.co.rs/gp-b.html?___store=serbian"," Pogledajte proizvod na sajtu -&gt;")</f>
        <v> Pogledajte proizvod na sajtu -&gt;</v>
      </c>
    </row>
    <row r="19" spans="1:6" ht="12.75">
      <c r="A19" s="2">
        <v>18</v>
      </c>
      <c r="B19" t="s">
        <v>1657</v>
      </c>
      <c r="C19" t="s">
        <v>1656</v>
      </c>
      <c r="D19" s="2">
        <v>90</v>
      </c>
      <c r="E19" s="2">
        <v>8.5</v>
      </c>
      <c r="F19" s="3" t="str">
        <f>HYPERLINK("http://www.sah.co.rs/gp-c.html?___store=serbian"," Pogledajte proizvod na sajtu -&gt;")</f>
        <v> Pogledajte proizvod na sajtu -&gt;</v>
      </c>
    </row>
    <row r="20" spans="1:6" ht="12.75">
      <c r="A20" s="2">
        <v>19</v>
      </c>
      <c r="B20" t="s">
        <v>1658</v>
      </c>
      <c r="C20" t="s">
        <v>1659</v>
      </c>
      <c r="D20" s="2">
        <v>80</v>
      </c>
      <c r="E20" s="2">
        <v>1.5</v>
      </c>
      <c r="F20" s="3" t="str">
        <f>HYPERLINK("http://www.sah.co.rs/wp001.html?___store=serbian"," Pogledajte proizvod na sajtu -&gt;")</f>
        <v> Pogledajte proizvod na sajtu -&gt;</v>
      </c>
    </row>
    <row r="21" spans="1:6" ht="12.75">
      <c r="A21" s="2">
        <v>20</v>
      </c>
      <c r="B21" t="s">
        <v>1660</v>
      </c>
      <c r="C21" t="s">
        <v>1661</v>
      </c>
      <c r="D21" s="2">
        <v>157</v>
      </c>
      <c r="E21" s="2">
        <v>2.5</v>
      </c>
      <c r="F21" s="3" t="str">
        <f>HYPERLINK("http://www.sah.co.rs/wc-010.html?___store=serbian"," Pogledajte proizvod na sajtu -&gt;")</f>
        <v> Pogledajte proizvod na sajtu -&gt;</v>
      </c>
    </row>
    <row r="22" spans="1:6" ht="12.75">
      <c r="A22" s="2">
        <v>21</v>
      </c>
      <c r="B22" t="s">
        <v>1662</v>
      </c>
      <c r="C22" t="s">
        <v>1663</v>
      </c>
      <c r="D22" s="2">
        <v>15</v>
      </c>
      <c r="E22" s="2">
        <v>17</v>
      </c>
      <c r="F22" s="3" t="str">
        <f>HYPERLINK("http://www.sah.co.rs/wcx-010.html?___store=serbian","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0.7109375" style="0" customWidth="1"/>
    <col min="3" max="3" width="30.574218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1664</v>
      </c>
      <c r="C2" t="s">
        <v>1665</v>
      </c>
      <c r="D2" s="2">
        <v>194</v>
      </c>
      <c r="E2" s="2">
        <v>1</v>
      </c>
      <c r="F2" s="3" t="str">
        <f>HYPERLINK("http://www.sah.co.rs/ssr-f-25a.html?___store=serbian"," Pogledajte proizvod na sajtu -&gt;")</f>
        <v> Pogledajte proizvod na sajtu -&gt;</v>
      </c>
    </row>
    <row r="3" spans="1:6" ht="12.75">
      <c r="A3" s="2">
        <v>2</v>
      </c>
      <c r="B3" t="s">
        <v>1666</v>
      </c>
      <c r="C3" t="s">
        <v>1667</v>
      </c>
      <c r="D3" s="2">
        <v>267</v>
      </c>
      <c r="E3" s="2">
        <v>1</v>
      </c>
      <c r="F3" s="3" t="str">
        <f>HYPERLINK("http://www.sah.co.rs/ssr-f-32a.html?___store=serbian","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F121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31.28125" style="0" customWidth="1"/>
    <col min="3" max="3" width="98.574218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1668</v>
      </c>
      <c r="C2" t="s">
        <v>1669</v>
      </c>
      <c r="D2" s="2">
        <v>41</v>
      </c>
      <c r="E2" s="2">
        <v>7</v>
      </c>
      <c r="F2" s="3" t="str">
        <f>HYPERLINK("http://www.sah.co.rs/am-hn-722-100-5a-ac.html?___store=serbian"," Pogledajte proizvod na sajtu -&gt;")</f>
        <v> Pogledajte proizvod na sajtu -&gt;</v>
      </c>
    </row>
    <row r="3" spans="1:6" ht="12.75">
      <c r="A3" s="2">
        <v>2</v>
      </c>
      <c r="B3" t="s">
        <v>1670</v>
      </c>
      <c r="C3" t="s">
        <v>1671</v>
      </c>
      <c r="D3" s="2">
        <v>255</v>
      </c>
      <c r="E3" s="2">
        <v>5</v>
      </c>
      <c r="F3" s="3" t="str">
        <f>HYPERLINK("http://www.sah.co.rs/se-48-10a-ac.html?___store=serbian"," Pogledajte proizvod na sajtu -&gt;")</f>
        <v> Pogledajte proizvod na sajtu -&gt;</v>
      </c>
    </row>
    <row r="4" spans="1:6" ht="12.75">
      <c r="A4" s="2">
        <v>3</v>
      </c>
      <c r="B4" t="s">
        <v>1672</v>
      </c>
      <c r="C4" t="s">
        <v>1671</v>
      </c>
      <c r="D4" s="2">
        <v>32</v>
      </c>
      <c r="E4" s="2">
        <v>6</v>
      </c>
      <c r="F4" s="3" t="str">
        <f>HYPERLINK("http://www.sah.co.rs/am-hn-72-10a-ac.html?___store=serbian"," Pogledajte proizvod na sajtu -&gt;")</f>
        <v> Pogledajte proizvod na sajtu -&gt;</v>
      </c>
    </row>
    <row r="5" spans="1:6" ht="12.75">
      <c r="A5" s="2">
        <v>4</v>
      </c>
      <c r="B5" t="s">
        <v>1673</v>
      </c>
      <c r="C5" t="s">
        <v>1671</v>
      </c>
      <c r="D5" s="2">
        <v>19</v>
      </c>
      <c r="E5" s="2">
        <v>5</v>
      </c>
      <c r="F5" s="3" t="str">
        <f>HYPERLINK("http://www.sah.co.rs/apm-s48aa-10a-ac.html?___store=serbian"," Pogledajte proizvod na sajtu -&gt;")</f>
        <v> Pogledajte proizvod na sajtu -&gt;</v>
      </c>
    </row>
    <row r="6" spans="1:6" ht="12.75">
      <c r="A6" s="2">
        <v>5</v>
      </c>
      <c r="B6" t="s">
        <v>1674</v>
      </c>
      <c r="C6" t="s">
        <v>1675</v>
      </c>
      <c r="D6" s="2">
        <v>96</v>
      </c>
      <c r="E6" s="2">
        <v>7</v>
      </c>
      <c r="F6" s="3" t="str">
        <f>HYPERLINK("http://www.sah.co.rs/am-hn-722-10a-ac.html?___store=serbian"," Pogledajte proizvod na sajtu -&gt;")</f>
        <v> Pogledajte proizvod na sajtu -&gt;</v>
      </c>
    </row>
    <row r="7" spans="1:6" ht="12.75">
      <c r="A7" s="2">
        <v>6</v>
      </c>
      <c r="B7" t="s">
        <v>1676</v>
      </c>
      <c r="C7" t="s">
        <v>1677</v>
      </c>
      <c r="D7" s="2">
        <v>1</v>
      </c>
      <c r="E7" s="2">
        <v>5</v>
      </c>
      <c r="F7" s="3" t="str">
        <f>HYPERLINK("http://www.sah.co.rs/se-48-20a-ac.html?___store=serbian"," Pogledajte proizvod na sajtu -&gt;")</f>
        <v> Pogledajte proizvod na sajtu -&gt;</v>
      </c>
    </row>
    <row r="8" spans="1:6" ht="12.75">
      <c r="A8" s="2">
        <v>7</v>
      </c>
      <c r="B8" t="s">
        <v>1678</v>
      </c>
      <c r="C8" t="s">
        <v>1677</v>
      </c>
      <c r="D8" s="2">
        <v>48</v>
      </c>
      <c r="E8" s="2">
        <v>6</v>
      </c>
      <c r="F8" s="3" t="str">
        <f>HYPERLINK("http://www.sah.co.rs/am-hn-72-20a-ac.html?___store=serbian"," Pogledajte proizvod na sajtu -&gt;")</f>
        <v> Pogledajte proizvod na sajtu -&gt;</v>
      </c>
    </row>
    <row r="9" spans="1:6" ht="12.75">
      <c r="A9" s="2">
        <v>8</v>
      </c>
      <c r="B9" t="s">
        <v>1679</v>
      </c>
      <c r="C9" t="s">
        <v>1677</v>
      </c>
      <c r="D9" s="2">
        <v>0</v>
      </c>
      <c r="E9" s="2">
        <v>5</v>
      </c>
      <c r="F9" s="3" t="str">
        <f>HYPERLINK("http://www.sah.co.rs/apm-s48aa-20a-ac.html?___store=serbian"," Pogledajte proizvod na sajtu -&gt;")</f>
        <v> Pogledajte proizvod na sajtu -&gt;</v>
      </c>
    </row>
    <row r="10" spans="1:6" ht="12.75">
      <c r="A10" s="2">
        <v>9</v>
      </c>
      <c r="B10" t="s">
        <v>1680</v>
      </c>
      <c r="C10" t="s">
        <v>1681</v>
      </c>
      <c r="D10" s="2">
        <v>94</v>
      </c>
      <c r="E10" s="2">
        <v>7</v>
      </c>
      <c r="F10" s="3" t="str">
        <f>HYPERLINK("http://www.sah.co.rs/am-hn-722-20a-ac.html?___store=serbian"," Pogledajte proizvod na sajtu -&gt;")</f>
        <v> Pogledajte proizvod na sajtu -&gt;</v>
      </c>
    </row>
    <row r="11" spans="1:6" ht="12.75">
      <c r="A11" s="2">
        <v>10</v>
      </c>
      <c r="B11" t="s">
        <v>1682</v>
      </c>
      <c r="C11" t="s">
        <v>1683</v>
      </c>
      <c r="D11" s="2">
        <v>38</v>
      </c>
      <c r="E11" s="2">
        <v>7</v>
      </c>
      <c r="F11" s="3" t="str">
        <f>HYPERLINK("http://www.sah.co.rs/am-hn-722-250-5a-ac.html?___store=serbian"," Pogledajte proizvod na sajtu -&gt;")</f>
        <v> Pogledajte proizvod na sajtu -&gt;</v>
      </c>
    </row>
    <row r="12" spans="1:6" ht="12.75">
      <c r="A12" s="2">
        <v>11</v>
      </c>
      <c r="B12" t="s">
        <v>1684</v>
      </c>
      <c r="C12" t="s">
        <v>1685</v>
      </c>
      <c r="D12" s="2">
        <v>15</v>
      </c>
      <c r="E12" s="2">
        <v>5</v>
      </c>
      <c r="F12" s="3" t="str">
        <f>HYPERLINK("http://www.sah.co.rs/se-48-30-5a-ac.html?___store=serbian"," Pogledajte proizvod na sajtu -&gt;")</f>
        <v> Pogledajte proizvod na sajtu -&gt;</v>
      </c>
    </row>
    <row r="13" spans="1:6" ht="12.75">
      <c r="A13" s="2">
        <v>12</v>
      </c>
      <c r="B13" t="s">
        <v>1686</v>
      </c>
      <c r="C13" t="s">
        <v>1687</v>
      </c>
      <c r="D13" s="2">
        <v>97</v>
      </c>
      <c r="E13" s="2">
        <v>7</v>
      </c>
      <c r="F13" s="3" t="str">
        <f>HYPERLINK("http://www.sah.co.rs/am-hn-722-30-5a-ac.html?___store=serbian"," Pogledajte proizvod na sajtu -&gt;")</f>
        <v> Pogledajte proizvod na sajtu -&gt;</v>
      </c>
    </row>
    <row r="14" spans="1:6" ht="12.75">
      <c r="A14" s="2">
        <v>13</v>
      </c>
      <c r="B14" t="s">
        <v>1688</v>
      </c>
      <c r="C14" t="s">
        <v>1689</v>
      </c>
      <c r="D14" s="2">
        <v>17</v>
      </c>
      <c r="E14" s="2">
        <v>5</v>
      </c>
      <c r="F14" s="3" t="str">
        <f>HYPERLINK("http://www.sah.co.rs/apm-s48aa-30a-ac.html?___store=serbian"," Pogledajte proizvod na sajtu -&gt;")</f>
        <v> Pogledajte proizvod na sajtu -&gt;</v>
      </c>
    </row>
    <row r="15" spans="1:6" ht="12.75">
      <c r="A15" s="2">
        <v>14</v>
      </c>
      <c r="B15" t="s">
        <v>1690</v>
      </c>
      <c r="C15" t="s">
        <v>1689</v>
      </c>
      <c r="D15" s="2">
        <v>47</v>
      </c>
      <c r="E15" s="2">
        <v>6</v>
      </c>
      <c r="F15" s="3" t="str">
        <f>HYPERLINK("http://www.sah.co.rs/am-hn-72-30a-ac.html?___store=serbian"," Pogledajte proizvod na sajtu -&gt;")</f>
        <v> Pogledajte proizvod na sajtu -&gt;</v>
      </c>
    </row>
    <row r="16" spans="1:6" ht="12.75">
      <c r="A16" s="2">
        <v>15</v>
      </c>
      <c r="B16" t="s">
        <v>1691</v>
      </c>
      <c r="C16" t="s">
        <v>1692</v>
      </c>
      <c r="D16" s="2">
        <v>77</v>
      </c>
      <c r="E16" s="2">
        <v>7</v>
      </c>
      <c r="F16" s="3" t="str">
        <f>HYPERLINK("http://www.sah.co.rs/am-hn-722-30a-ac.html?___store=serbian"," Pogledajte proizvod na sajtu -&gt;")</f>
        <v> Pogledajte proizvod na sajtu -&gt;</v>
      </c>
    </row>
    <row r="17" spans="1:6" ht="12.75">
      <c r="A17" s="2">
        <v>16</v>
      </c>
      <c r="B17" t="s">
        <v>1693</v>
      </c>
      <c r="C17" t="s">
        <v>1694</v>
      </c>
      <c r="D17" s="2">
        <v>54</v>
      </c>
      <c r="E17" s="2">
        <v>5</v>
      </c>
      <c r="F17" s="3" t="str">
        <f>HYPERLINK("http://www.sah.co.rs/se-48-40-5a-ac.html?___store=serbian"," Pogledajte proizvod na sajtu -&gt;")</f>
        <v> Pogledajte proizvod na sajtu -&gt;</v>
      </c>
    </row>
    <row r="18" spans="1:6" ht="12.75">
      <c r="A18" s="2">
        <v>17</v>
      </c>
      <c r="B18" t="s">
        <v>1695</v>
      </c>
      <c r="C18" t="s">
        <v>1696</v>
      </c>
      <c r="D18" s="2">
        <v>82</v>
      </c>
      <c r="E18" s="2">
        <v>7</v>
      </c>
      <c r="F18" s="3" t="str">
        <f>HYPERLINK("http://www.sah.co.rs/apm-s48aa-40a-ac.html?___store=serbian"," Pogledajte proizvod na sajtu -&gt;")</f>
        <v> Pogledajte proizvod na sajtu -&gt;</v>
      </c>
    </row>
    <row r="19" spans="1:6" ht="12.75">
      <c r="A19" s="2">
        <v>18</v>
      </c>
      <c r="B19" t="s">
        <v>1697</v>
      </c>
      <c r="C19" t="s">
        <v>1696</v>
      </c>
      <c r="D19" s="2">
        <v>45</v>
      </c>
      <c r="E19" s="2">
        <v>6</v>
      </c>
      <c r="F19" s="3" t="str">
        <f>HYPERLINK("http://www.sah.co.rs/am-hn-72-40a-ac.html?___store=serbian"," Pogledajte proizvod na sajtu -&gt;")</f>
        <v> Pogledajte proizvod na sajtu -&gt;</v>
      </c>
    </row>
    <row r="20" spans="1:6" ht="12.75">
      <c r="A20" s="2">
        <v>19</v>
      </c>
      <c r="B20" t="s">
        <v>1698</v>
      </c>
      <c r="C20" t="s">
        <v>1699</v>
      </c>
      <c r="D20" s="2">
        <v>22</v>
      </c>
      <c r="E20" s="2">
        <v>7</v>
      </c>
      <c r="F20" s="3" t="str">
        <f>HYPERLINK("http://www.sah.co.rs/am-hn-722-40a-ac.html?___store=serbian"," Pogledajte proizvod na sajtu -&gt;")</f>
        <v> Pogledajte proizvod na sajtu -&gt;</v>
      </c>
    </row>
    <row r="21" spans="1:6" ht="12.75">
      <c r="A21" s="2">
        <v>20</v>
      </c>
      <c r="B21" t="s">
        <v>1700</v>
      </c>
      <c r="C21" t="s">
        <v>1701</v>
      </c>
      <c r="D21" s="2">
        <v>43</v>
      </c>
      <c r="E21" s="2">
        <v>5</v>
      </c>
      <c r="F21" s="3" t="str">
        <f>HYPERLINK("http://www.sah.co.rs/se-48-50-5a-ac.html?___store=serbian"," Pogledajte proizvod na sajtu -&gt;")</f>
        <v> Pogledajte proizvod na sajtu -&gt;</v>
      </c>
    </row>
    <row r="22" spans="1:6" ht="12.75">
      <c r="A22" s="2">
        <v>21</v>
      </c>
      <c r="B22" t="s">
        <v>1702</v>
      </c>
      <c r="C22" t="s">
        <v>1703</v>
      </c>
      <c r="D22" s="2">
        <v>43</v>
      </c>
      <c r="E22" s="2">
        <v>7</v>
      </c>
      <c r="F22" s="3" t="str">
        <f>HYPERLINK("http://www.sah.co.rs/am-hn-722-50-5a-ac.html?___store=serbian"," Pogledajte proizvod na sajtu -&gt;")</f>
        <v> Pogledajte proizvod na sajtu -&gt;</v>
      </c>
    </row>
    <row r="23" spans="1:6" ht="12.75">
      <c r="A23" s="2">
        <v>22</v>
      </c>
      <c r="B23" t="s">
        <v>1704</v>
      </c>
      <c r="C23" t="s">
        <v>1705</v>
      </c>
      <c r="D23" s="2">
        <v>5</v>
      </c>
      <c r="E23" s="2">
        <v>10</v>
      </c>
      <c r="F23" s="3" t="str">
        <f>HYPERLINK("http://www.sah.co.rs/apm-s48aa-50a-ac.html?___store=serbian"," Pogledajte proizvod na sajtu -&gt;")</f>
        <v> Pogledajte proizvod na sajtu -&gt;</v>
      </c>
    </row>
    <row r="24" spans="1:6" ht="12.75">
      <c r="A24" s="2">
        <v>23</v>
      </c>
      <c r="B24" t="s">
        <v>1706</v>
      </c>
      <c r="C24" t="s">
        <v>1705</v>
      </c>
      <c r="D24" s="2">
        <v>41</v>
      </c>
      <c r="E24" s="2">
        <v>6</v>
      </c>
      <c r="F24" s="3" t="str">
        <f>HYPERLINK("http://www.sah.co.rs/am-hn-72-50a-ac.html?___store=serbian"," Pogledajte proizvod na sajtu -&gt;")</f>
        <v> Pogledajte proizvod na sajtu -&gt;</v>
      </c>
    </row>
    <row r="25" spans="1:6" ht="12.75">
      <c r="A25" s="2">
        <v>24</v>
      </c>
      <c r="B25" t="s">
        <v>1707</v>
      </c>
      <c r="C25" t="s">
        <v>1708</v>
      </c>
      <c r="D25" s="2">
        <v>53</v>
      </c>
      <c r="E25" s="2">
        <v>7</v>
      </c>
      <c r="F25" s="3" t="str">
        <f>HYPERLINK("http://www.sah.co.rs/am-hn-722-50a-ac.html?___store=serbian"," Pogledajte proizvod na sajtu -&gt;")</f>
        <v> Pogledajte proizvod na sajtu -&gt;</v>
      </c>
    </row>
    <row r="26" spans="1:6" ht="12.75">
      <c r="A26" s="2">
        <v>25</v>
      </c>
      <c r="B26" t="s">
        <v>1709</v>
      </c>
      <c r="C26" t="s">
        <v>1710</v>
      </c>
      <c r="D26" s="2">
        <v>20</v>
      </c>
      <c r="E26" s="2">
        <v>5</v>
      </c>
      <c r="F26" s="3" t="str">
        <f>HYPERLINK("http://www.sah.co.rs/apm-s48aa-5a-ac.html?___store=serbian"," Pogledajte proizvod na sajtu -&gt;")</f>
        <v> Pogledajte proizvod na sajtu -&gt;</v>
      </c>
    </row>
    <row r="27" spans="1:6" ht="12.75">
      <c r="A27" s="2">
        <v>26</v>
      </c>
      <c r="B27" t="s">
        <v>1711</v>
      </c>
      <c r="C27" t="s">
        <v>1710</v>
      </c>
      <c r="D27" s="2">
        <v>125</v>
      </c>
      <c r="E27" s="2">
        <v>5</v>
      </c>
      <c r="F27" s="3" t="str">
        <f>HYPERLINK("http://www.sah.co.rs/se-48-5a-ac.html?___store=serbian"," Pogledajte proizvod na sajtu -&gt;")</f>
        <v> Pogledajte proizvod na sajtu -&gt;</v>
      </c>
    </row>
    <row r="28" spans="1:6" ht="12.75">
      <c r="A28" s="2">
        <v>27</v>
      </c>
      <c r="B28" t="s">
        <v>1712</v>
      </c>
      <c r="C28" t="s">
        <v>1710</v>
      </c>
      <c r="D28" s="2">
        <v>11</v>
      </c>
      <c r="E28" s="2">
        <v>6</v>
      </c>
      <c r="F28" s="3" t="str">
        <f>HYPERLINK("http://www.sah.co.rs/am-hn-72-5a-ac.html?___store=serbian"," Pogledajte proizvod na sajtu -&gt;")</f>
        <v> Pogledajte proizvod na sajtu -&gt;</v>
      </c>
    </row>
    <row r="29" spans="1:6" ht="12.75">
      <c r="A29" s="2">
        <v>28</v>
      </c>
      <c r="B29" t="s">
        <v>1713</v>
      </c>
      <c r="C29" t="s">
        <v>1714</v>
      </c>
      <c r="D29" s="2">
        <v>19</v>
      </c>
      <c r="E29" s="2">
        <v>7</v>
      </c>
      <c r="F29" s="3" t="str">
        <f>HYPERLINK("http://www.sah.co.rs/am-hn-722-5a-ac.html?___store=serbian"," Pogledajte proizvod na sajtu -&gt;")</f>
        <v> Pogledajte proizvod na sajtu -&gt;</v>
      </c>
    </row>
    <row r="30" spans="1:6" ht="12.75">
      <c r="A30" s="2">
        <v>29</v>
      </c>
      <c r="B30" t="s">
        <v>1715</v>
      </c>
      <c r="C30" t="s">
        <v>1716</v>
      </c>
      <c r="D30" s="2">
        <v>0</v>
      </c>
      <c r="E30" s="2">
        <v>5</v>
      </c>
      <c r="F30" s="3" t="str">
        <f>HYPERLINK("http://www.sah.co.rs/apm-s48av-300v-ac.html?___store=serbian"," Pogledajte proizvod na sajtu -&gt;")</f>
        <v> Pogledajte proizvod na sajtu -&gt;</v>
      </c>
    </row>
    <row r="31" spans="1:6" ht="12.75">
      <c r="A31" s="2">
        <v>30</v>
      </c>
      <c r="B31" t="s">
        <v>1717</v>
      </c>
      <c r="C31" t="s">
        <v>1718</v>
      </c>
      <c r="D31" s="2">
        <v>80</v>
      </c>
      <c r="E31" s="2">
        <v>5</v>
      </c>
      <c r="F31" s="3" t="str">
        <f>HYPERLINK("http://www.sah.co.rs/apm-s48av-500v-ac.html?___store=serbian"," Pogledajte proizvod na sajtu -&gt;")</f>
        <v> Pogledajte proizvod na sajtu -&gt;</v>
      </c>
    </row>
    <row r="32" spans="1:6" ht="12.75">
      <c r="A32" s="2">
        <v>31</v>
      </c>
      <c r="B32" t="s">
        <v>1719</v>
      </c>
      <c r="C32" t="s">
        <v>1718</v>
      </c>
      <c r="D32" s="2">
        <v>90</v>
      </c>
      <c r="E32" s="2">
        <v>5</v>
      </c>
      <c r="F32" s="3" t="str">
        <f>HYPERLINK("http://www.sah.co.rs/se-48-500v-ac.html?___store=serbian"," Pogledajte proizvod na sajtu -&gt;")</f>
        <v> Pogledajte proizvod na sajtu -&gt;</v>
      </c>
    </row>
    <row r="33" spans="1:6" ht="12.75">
      <c r="A33" s="2">
        <v>32</v>
      </c>
      <c r="B33" t="s">
        <v>1720</v>
      </c>
      <c r="C33" t="s">
        <v>1721</v>
      </c>
      <c r="D33" s="2">
        <v>40</v>
      </c>
      <c r="E33" s="2">
        <v>7</v>
      </c>
      <c r="F33" s="3" t="str">
        <f>HYPERLINK("http://www.sah.co.rs/am-hn-72-600v-ac.html?___store=serbian"," Pogledajte proizvod na sajtu -&gt;")</f>
        <v> Pogledajte proizvod na sajtu -&gt;</v>
      </c>
    </row>
    <row r="34" spans="1:6" ht="12.75">
      <c r="A34" s="2">
        <v>33</v>
      </c>
      <c r="B34" t="s">
        <v>1722</v>
      </c>
      <c r="C34" t="s">
        <v>1723</v>
      </c>
      <c r="D34" s="2">
        <v>37</v>
      </c>
      <c r="E34" s="2">
        <v>5</v>
      </c>
      <c r="F34" s="3" t="str">
        <f>HYPERLINK("http://www.sah.co.rs/apm-s48av-60v-ac.html?___store=serbian"," Pogledajte proizvod na sajtu -&gt;")</f>
        <v> Pogledajte proizvod na sajtu -&gt;</v>
      </c>
    </row>
    <row r="35" spans="1:6" ht="12.75">
      <c r="A35" s="2">
        <v>34</v>
      </c>
      <c r="B35" t="s">
        <v>1724</v>
      </c>
      <c r="C35" t="s">
        <v>1725</v>
      </c>
      <c r="D35" s="2">
        <v>0</v>
      </c>
      <c r="E35" s="2">
        <v>5</v>
      </c>
      <c r="F35" s="3" t="str">
        <f>HYPERLINK("http://www.sah.co.rs/apm-s48da-10a-dc.html?___store=serbian"," Pogledajte proizvod na sajtu -&gt;")</f>
        <v> Pogledajte proizvod na sajtu -&gt;</v>
      </c>
    </row>
    <row r="36" spans="1:6" ht="12.75">
      <c r="A36" s="2">
        <v>35</v>
      </c>
      <c r="B36" t="s">
        <v>1726</v>
      </c>
      <c r="C36" t="s">
        <v>1727</v>
      </c>
      <c r="D36" s="2">
        <v>4</v>
      </c>
      <c r="E36" s="2">
        <v>5</v>
      </c>
      <c r="F36" s="3" t="str">
        <f>HYPERLINK("http://www.sah.co.rs/apm-s48da-20a-dc.html?___store=serbian"," Pogledajte proizvod na sajtu -&gt;")</f>
        <v> Pogledajte proizvod na sajtu -&gt;</v>
      </c>
    </row>
    <row r="37" spans="1:6" ht="12.75">
      <c r="A37" s="2">
        <v>36</v>
      </c>
      <c r="B37" t="s">
        <v>1728</v>
      </c>
      <c r="C37" t="s">
        <v>1729</v>
      </c>
      <c r="D37" s="2">
        <v>23</v>
      </c>
      <c r="E37" s="2">
        <v>5</v>
      </c>
      <c r="F37" s="3" t="str">
        <f>HYPERLINK("http://www.sah.co.rs/apm-s48da-20ma-dc.html?___store=serbian"," Pogledajte proizvod na sajtu -&gt;")</f>
        <v> Pogledajte proizvod na sajtu -&gt;</v>
      </c>
    </row>
    <row r="38" spans="1:6" ht="12.75">
      <c r="A38" s="2">
        <v>37</v>
      </c>
      <c r="B38" t="s">
        <v>1730</v>
      </c>
      <c r="C38" t="s">
        <v>1731</v>
      </c>
      <c r="D38" s="2">
        <v>0</v>
      </c>
      <c r="E38" s="2">
        <v>5</v>
      </c>
      <c r="F38" s="3" t="str">
        <f>HYPERLINK("http://www.sah.co.rs/apm-s48da-50a-dc.html?___store=serbian"," Pogledajte proizvod na sajtu -&gt;")</f>
        <v> Pogledajte proizvod na sajtu -&gt;</v>
      </c>
    </row>
    <row r="39" spans="1:6" ht="12.75">
      <c r="A39" s="2">
        <v>38</v>
      </c>
      <c r="B39" t="s">
        <v>1732</v>
      </c>
      <c r="C39" t="s">
        <v>1733</v>
      </c>
      <c r="D39" s="2">
        <v>30</v>
      </c>
      <c r="E39" s="2">
        <v>5</v>
      </c>
      <c r="F39" s="3" t="str">
        <f>HYPERLINK("http://www.sah.co.rs/hn-48-10a-dc.html?___store=serbian"," Pogledajte proizvod na sajtu -&gt;")</f>
        <v> Pogledajte proizvod na sajtu -&gt;</v>
      </c>
    </row>
    <row r="40" spans="1:6" ht="12.75">
      <c r="A40" s="2">
        <v>39</v>
      </c>
      <c r="B40" t="s">
        <v>1734</v>
      </c>
      <c r="C40" t="s">
        <v>1735</v>
      </c>
      <c r="D40" s="2">
        <v>15</v>
      </c>
      <c r="E40" s="2">
        <v>5</v>
      </c>
      <c r="F40" s="3" t="str">
        <f>HYPERLINK("http://www.sah.co.rs/hn-48-20a-dc.html?___store=serbian"," Pogledajte proizvod na sajtu -&gt;")</f>
        <v> Pogledajte proizvod na sajtu -&gt;</v>
      </c>
    </row>
    <row r="41" spans="1:6" ht="12.75">
      <c r="A41" s="2">
        <v>40</v>
      </c>
      <c r="B41" t="s">
        <v>1736</v>
      </c>
      <c r="C41" t="s">
        <v>1737</v>
      </c>
      <c r="D41" s="2">
        <v>16</v>
      </c>
      <c r="E41" s="2">
        <v>5</v>
      </c>
      <c r="F41" s="3" t="str">
        <f>HYPERLINK("http://www.sah.co.rs/hn-48-50a-dc.html?___store=serbian"," Pogledajte proizvod na sajtu -&gt;")</f>
        <v> Pogledajte proizvod na sajtu -&gt;</v>
      </c>
    </row>
    <row r="42" spans="1:6" ht="12.75">
      <c r="A42" s="2">
        <v>41</v>
      </c>
      <c r="B42" t="s">
        <v>1738</v>
      </c>
      <c r="C42" t="s">
        <v>1739</v>
      </c>
      <c r="D42" s="2">
        <v>51</v>
      </c>
      <c r="E42" s="2">
        <v>5</v>
      </c>
      <c r="F42" s="3" t="str">
        <f>HYPERLINK("http://www.sah.co.rs/apm-s48dv-10v-dc.html?___store=serbian"," Pogledajte proizvod na sajtu -&gt;")</f>
        <v> Pogledajte proizvod na sajtu -&gt;</v>
      </c>
    </row>
    <row r="43" spans="1:6" ht="12.75">
      <c r="A43" s="2">
        <v>42</v>
      </c>
      <c r="B43" t="s">
        <v>1740</v>
      </c>
      <c r="C43" t="s">
        <v>1741</v>
      </c>
      <c r="D43" s="2">
        <v>13</v>
      </c>
      <c r="E43" s="2">
        <v>5</v>
      </c>
      <c r="F43" s="3" t="str">
        <f>HYPERLINK("http://www.sah.co.rs/apm-s48dv-300v-dc.html?___store=serbian"," Pogledajte proizvod na sajtu -&gt;")</f>
        <v> Pogledajte proizvod na sajtu -&gt;</v>
      </c>
    </row>
    <row r="44" spans="1:6" ht="12.75">
      <c r="A44" s="2">
        <v>43</v>
      </c>
      <c r="B44" t="s">
        <v>1742</v>
      </c>
      <c r="C44" t="s">
        <v>1743</v>
      </c>
      <c r="D44" s="2">
        <v>37</v>
      </c>
      <c r="E44" s="2">
        <v>5</v>
      </c>
      <c r="F44" s="3" t="str">
        <f>HYPERLINK("http://www.sah.co.rs/apm-s48dv-60v-dc.html?___store=serbian"," Pogledajte proizvod na sajtu -&gt;")</f>
        <v> Pogledajte proizvod na sajtu -&gt;</v>
      </c>
    </row>
    <row r="45" spans="1:6" ht="12.75">
      <c r="A45" s="2">
        <v>44</v>
      </c>
      <c r="B45" t="s">
        <v>1744</v>
      </c>
      <c r="C45" t="s">
        <v>1745</v>
      </c>
      <c r="D45" s="2">
        <v>30</v>
      </c>
      <c r="E45" s="2">
        <v>15</v>
      </c>
      <c r="F45" s="3" t="str">
        <f>HYPERLINK("http://www.sah.co.rs/hn-72-300v-dc.html?___store=serbian"," Pogledajte proizvod na sajtu -&gt;")</f>
        <v> Pogledajte proizvod na sajtu -&gt;</v>
      </c>
    </row>
    <row r="46" spans="1:6" ht="12.75">
      <c r="A46" s="2">
        <v>45</v>
      </c>
      <c r="B46" t="s">
        <v>1746</v>
      </c>
      <c r="C46" t="s">
        <v>1747</v>
      </c>
      <c r="D46" s="2">
        <v>86</v>
      </c>
      <c r="E46" s="2">
        <v>5</v>
      </c>
      <c r="F46" s="3" t="str">
        <f>HYPERLINK("http://www.sah.co.rs/hn-48-30vdc.html?___store=serbian"," Pogledajte proizvod na sajtu -&gt;")</f>
        <v> Pogledajte proizvod na sajtu -&gt;</v>
      </c>
    </row>
    <row r="47" spans="1:6" ht="12.75">
      <c r="A47" s="2">
        <v>46</v>
      </c>
      <c r="B47" t="s">
        <v>1748</v>
      </c>
      <c r="C47" t="s">
        <v>1747</v>
      </c>
      <c r="D47" s="2">
        <v>30</v>
      </c>
      <c r="E47" s="2">
        <v>15</v>
      </c>
      <c r="F47" s="3" t="str">
        <f>HYPERLINK("http://www.sah.co.rs/hn-72-30v-dc.html?___store=serbian"," Pogledajte proizvod na sajtu -&gt;")</f>
        <v> Pogledajte proizvod na sajtu -&gt;</v>
      </c>
    </row>
    <row r="48" spans="1:6" ht="12.75">
      <c r="A48" s="2">
        <v>47</v>
      </c>
      <c r="B48" t="s">
        <v>1749</v>
      </c>
      <c r="C48" t="s">
        <v>1750</v>
      </c>
      <c r="D48" s="2">
        <v>50</v>
      </c>
      <c r="E48" s="2">
        <v>32</v>
      </c>
      <c r="F48" s="3" t="str">
        <f>HYPERLINK("http://www.sah.co.rs/ds5320.html?___store=serbian"," Pogledajte proizvod na sajtu -&gt;")</f>
        <v> Pogledajte proizvod na sajtu -&gt;</v>
      </c>
    </row>
    <row r="49" spans="1:6" ht="12.75">
      <c r="A49" s="2">
        <v>48</v>
      </c>
      <c r="B49" t="s">
        <v>1751</v>
      </c>
      <c r="C49" t="s">
        <v>1752</v>
      </c>
      <c r="D49" s="2">
        <v>19</v>
      </c>
      <c r="E49" s="2">
        <v>25</v>
      </c>
      <c r="F49" s="3" t="str">
        <f>HYPERLINK("http://www.sah.co.rs/ds5210-uif.html?___store=serbian"," Pogledajte proizvod na sajtu -&gt;")</f>
        <v> Pogledajte proizvod na sajtu -&gt;</v>
      </c>
    </row>
    <row r="50" spans="1:6" ht="12.75">
      <c r="A50" s="2">
        <v>49</v>
      </c>
      <c r="B50" t="s">
        <v>1753</v>
      </c>
      <c r="C50" t="s">
        <v>1754</v>
      </c>
      <c r="D50" s="2">
        <v>38</v>
      </c>
      <c r="E50" s="2">
        <v>15</v>
      </c>
      <c r="F50" s="3" t="str">
        <f>HYPERLINK("http://www.sah.co.rs/ds5220-i.html?___store=serbian"," Pogledajte proizvod na sajtu -&gt;")</f>
        <v> Pogledajte proizvod na sajtu -&gt;</v>
      </c>
    </row>
    <row r="51" spans="1:6" ht="12.75">
      <c r="A51" s="2">
        <v>50</v>
      </c>
      <c r="B51" t="s">
        <v>1755</v>
      </c>
      <c r="C51" t="s">
        <v>1754</v>
      </c>
      <c r="D51" s="2">
        <v>59</v>
      </c>
      <c r="E51" s="2">
        <v>15</v>
      </c>
      <c r="F51" s="3" t="str">
        <f>HYPERLINK("http://www.sah.co.rs/ds5240-i.html?___store=serbian"," Pogledajte proizvod na sajtu -&gt;")</f>
        <v> Pogledajte proizvod na sajtu -&gt;</v>
      </c>
    </row>
    <row r="52" spans="1:6" ht="12.75">
      <c r="A52" s="2">
        <v>51</v>
      </c>
      <c r="B52" t="s">
        <v>1756</v>
      </c>
      <c r="C52" t="s">
        <v>1757</v>
      </c>
      <c r="D52" s="2">
        <v>66</v>
      </c>
      <c r="E52" s="2">
        <v>15</v>
      </c>
      <c r="F52" s="3" t="str">
        <f>HYPERLINK("http://www.sah.co.rs/ds5240-f.html?___store=serbian"," Pogledajte proizvod na sajtu -&gt;")</f>
        <v> Pogledajte proizvod na sajtu -&gt;</v>
      </c>
    </row>
    <row r="53" spans="1:6" ht="12.75">
      <c r="A53" s="2">
        <v>52</v>
      </c>
      <c r="B53" t="s">
        <v>1758</v>
      </c>
      <c r="C53" t="s">
        <v>1757</v>
      </c>
      <c r="D53" s="2">
        <v>40</v>
      </c>
      <c r="E53" s="2">
        <v>15</v>
      </c>
      <c r="F53" s="3" t="str">
        <f>HYPERLINK("http://www.sah.co.rs/ds5220-f.html?___store=serbian"," Pogledajte proizvod na sajtu -&gt;")</f>
        <v> Pogledajte proizvod na sajtu -&gt;</v>
      </c>
    </row>
    <row r="54" spans="1:6" ht="12.75">
      <c r="A54" s="2">
        <v>53</v>
      </c>
      <c r="B54" t="s">
        <v>1759</v>
      </c>
      <c r="C54" t="s">
        <v>1760</v>
      </c>
      <c r="D54" s="2">
        <v>45</v>
      </c>
      <c r="E54" s="2">
        <v>50</v>
      </c>
      <c r="F54" s="3" t="str">
        <f>HYPERLINK("http://www.sah.co.rs/t80.html?___store=serbian"," Pogledajte proizvod na sajtu -&gt;")</f>
        <v> Pogledajte proizvod na sajtu -&gt;</v>
      </c>
    </row>
    <row r="55" spans="1:6" ht="12.75">
      <c r="A55" s="2">
        <v>54</v>
      </c>
      <c r="B55" t="s">
        <v>1761</v>
      </c>
      <c r="C55" t="s">
        <v>1762</v>
      </c>
      <c r="D55" s="2">
        <v>47</v>
      </c>
      <c r="E55" s="2">
        <v>18</v>
      </c>
      <c r="F55" s="3" t="str">
        <f>HYPERLINK("http://www.sah.co.rs/dhc6p-aa.html?___store=serbian"," Pogledajte proizvod na sajtu -&gt;")</f>
        <v> Pogledajte proizvod na sajtu -&gt;</v>
      </c>
    </row>
    <row r="56" spans="1:6" ht="12.75">
      <c r="A56" s="2">
        <v>55</v>
      </c>
      <c r="B56" t="s">
        <v>1763</v>
      </c>
      <c r="C56" t="s">
        <v>1764</v>
      </c>
      <c r="D56" s="2">
        <v>31</v>
      </c>
      <c r="E56" s="2">
        <v>28</v>
      </c>
      <c r="F56" s="3" t="str">
        <f>HYPERLINK("http://www.sah.co.rs/dhc6ps-aa.html?___store=serbian"," Pogledajte proizvod na sajtu -&gt;")</f>
        <v> Pogledajte proizvod na sajtu -&gt;</v>
      </c>
    </row>
    <row r="57" spans="1:6" ht="12.75">
      <c r="A57" s="2">
        <v>56</v>
      </c>
      <c r="B57" t="s">
        <v>1765</v>
      </c>
      <c r="C57" t="s">
        <v>1766</v>
      </c>
      <c r="D57" s="2">
        <v>76</v>
      </c>
      <c r="E57" s="2">
        <v>8</v>
      </c>
      <c r="F57" s="3" t="str">
        <f>HYPERLINK("http://www.sah.co.rs/d69-40-5a-ac.html?___store=serbian"," Pogledajte proizvod na sajtu -&gt;")</f>
        <v> Pogledajte proizvod na sajtu -&gt;</v>
      </c>
    </row>
    <row r="58" spans="1:6" ht="12.75">
      <c r="A58" s="2">
        <v>57</v>
      </c>
      <c r="B58" t="s">
        <v>1767</v>
      </c>
      <c r="C58" t="s">
        <v>1768</v>
      </c>
      <c r="D58" s="2">
        <v>143</v>
      </c>
      <c r="E58" s="2">
        <v>8</v>
      </c>
      <c r="F58" s="3" t="str">
        <f>HYPERLINK("http://www.sah.co.rs/d69-22-500vac.html?___store=serbian"," Pogledajte proizvod na sajtu -&gt;")</f>
        <v> Pogledajte proizvod na sajtu -&gt;</v>
      </c>
    </row>
    <row r="59" spans="1:6" ht="12.75">
      <c r="A59" s="2">
        <v>58</v>
      </c>
      <c r="B59" t="s">
        <v>1769</v>
      </c>
      <c r="C59" t="s">
        <v>1770</v>
      </c>
      <c r="D59" s="2">
        <v>59</v>
      </c>
      <c r="E59" s="2">
        <v>18</v>
      </c>
      <c r="F59" s="3" t="str">
        <f>HYPERLINK("http://www.sah.co.rs/dhc6p-av.html?___store=serbian"," Pogledajte proizvod na sajtu -&gt;")</f>
        <v> Pogledajte proizvod na sajtu -&gt;</v>
      </c>
    </row>
    <row r="60" spans="1:6" ht="12.75">
      <c r="A60" s="2">
        <v>59</v>
      </c>
      <c r="B60" t="s">
        <v>1771</v>
      </c>
      <c r="C60" t="s">
        <v>1772</v>
      </c>
      <c r="D60" s="2">
        <v>41</v>
      </c>
      <c r="E60" s="2">
        <v>8</v>
      </c>
      <c r="F60" s="3" t="str">
        <f>HYPERLINK("http://www.sah.co.rs/d69-20-80-500vac.html?___store=serbian"," Pogledajte proizvod na sajtu -&gt;")</f>
        <v> Pogledajte proizvod na sajtu -&gt;</v>
      </c>
    </row>
    <row r="61" spans="1:6" ht="12.75">
      <c r="A61" s="2">
        <v>60</v>
      </c>
      <c r="B61" t="s">
        <v>1773</v>
      </c>
      <c r="C61" t="s">
        <v>1774</v>
      </c>
      <c r="D61" s="2">
        <v>12</v>
      </c>
      <c r="E61" s="2">
        <v>55</v>
      </c>
      <c r="F61" s="3" t="str">
        <f>HYPERLINK("http://www.sah.co.rs/dl8a-rc10a1000.html?___store=serbian"," Pogledajte proizvod na sajtu -&gt;")</f>
        <v> Pogledajte proizvod na sajtu -&gt;</v>
      </c>
    </row>
    <row r="62" spans="1:6" ht="12.75">
      <c r="A62" s="2">
        <v>61</v>
      </c>
      <c r="B62" t="s">
        <v>1775</v>
      </c>
      <c r="C62" t="s">
        <v>1776</v>
      </c>
      <c r="D62" s="2">
        <v>44</v>
      </c>
      <c r="E62" s="2">
        <v>60</v>
      </c>
      <c r="F62" s="3" t="str">
        <f>HYPERLINK("http://www.sah.co.rs/dl8a-dc10a1000.html?___store=serbian"," Pogledajte proizvod na sajtu -&gt;")</f>
        <v> Pogledajte proizvod na sajtu -&gt;</v>
      </c>
    </row>
    <row r="63" spans="1:6" ht="12.75">
      <c r="A63" s="2">
        <v>62</v>
      </c>
      <c r="B63" t="s">
        <v>1777</v>
      </c>
      <c r="C63" t="s">
        <v>1778</v>
      </c>
      <c r="D63" s="2">
        <v>15</v>
      </c>
      <c r="E63" s="2">
        <v>75</v>
      </c>
      <c r="F63" s="3" t="str">
        <f>HYPERLINK("http://www.sah.co.rs/dl8a-dc18a1000.html?___store=serbian"," Pogledajte proizvod na sajtu -&gt;")</f>
        <v> Pogledajte proizvod na sajtu -&gt;</v>
      </c>
    </row>
    <row r="64" spans="1:6" ht="12.75">
      <c r="A64" s="2">
        <v>63</v>
      </c>
      <c r="B64" t="s">
        <v>1779</v>
      </c>
      <c r="C64" t="s">
        <v>1780</v>
      </c>
      <c r="D64" s="2">
        <v>27</v>
      </c>
      <c r="E64" s="2">
        <v>55</v>
      </c>
      <c r="F64" s="3" t="str">
        <f>HYPERLINK("http://www.sah.co.rs/dl8-rc10v600.html?___store=serbian"," Pogledajte proizvod na sajtu -&gt;")</f>
        <v> Pogledajte proizvod na sajtu -&gt;</v>
      </c>
    </row>
    <row r="65" spans="1:6" ht="12.75">
      <c r="A65" s="2">
        <v>64</v>
      </c>
      <c r="B65" t="s">
        <v>1781</v>
      </c>
      <c r="C65" t="s">
        <v>1782</v>
      </c>
      <c r="D65" s="2">
        <v>16</v>
      </c>
      <c r="E65" s="2">
        <v>60</v>
      </c>
      <c r="F65" s="3" t="str">
        <f>HYPERLINK("http://www.sah.co.rs/dl8-dc10v600.html?___store=serbian"," Pogledajte proizvod na sajtu -&gt;")</f>
        <v> Pogledajte proizvod na sajtu -&gt;</v>
      </c>
    </row>
    <row r="66" spans="1:6" ht="12.75">
      <c r="A66" s="2">
        <v>65</v>
      </c>
      <c r="B66" t="s">
        <v>1783</v>
      </c>
      <c r="C66" t="s">
        <v>1784</v>
      </c>
      <c r="D66" s="2">
        <v>3</v>
      </c>
      <c r="E66" s="2">
        <v>75</v>
      </c>
      <c r="F66" s="3" t="str">
        <f>HYPERLINK("http://www.sah.co.rs/dl8-dc18v600.html?___store=serbian"," Pogledajte proizvod na sajtu -&gt;")</f>
        <v> Pogledajte proizvod na sajtu -&gt;</v>
      </c>
    </row>
    <row r="67" spans="1:6" ht="12.75">
      <c r="A67" s="2">
        <v>66</v>
      </c>
      <c r="B67" t="s">
        <v>1785</v>
      </c>
      <c r="C67" t="s">
        <v>1786</v>
      </c>
      <c r="D67" s="2">
        <v>61</v>
      </c>
      <c r="E67" s="2">
        <v>8</v>
      </c>
      <c r="F67" s="3" t="str">
        <f>HYPERLINK("http://www.sah.co.rs/d69-50-19-99madc.html?___store=serbian"," Pogledajte proizvod na sajtu -&gt;")</f>
        <v> Pogledajte proizvod na sajtu -&gt;</v>
      </c>
    </row>
    <row r="68" spans="1:6" ht="12.75">
      <c r="A68" s="2">
        <v>67</v>
      </c>
      <c r="B68" t="s">
        <v>1787</v>
      </c>
      <c r="C68" t="s">
        <v>1788</v>
      </c>
      <c r="D68" s="2">
        <v>9</v>
      </c>
      <c r="E68" s="2">
        <v>20</v>
      </c>
      <c r="F68" s="3" t="str">
        <f>HYPERLINK("http://www.sah.co.rs/dx3-da0-02.html?___store=serbian"," Pogledajte proizvod na sajtu -&gt;")</f>
        <v> Pogledajte proizvod na sajtu -&gt;</v>
      </c>
    </row>
    <row r="69" spans="1:6" ht="12.75">
      <c r="A69" s="2">
        <v>68</v>
      </c>
      <c r="B69" t="s">
        <v>1789</v>
      </c>
      <c r="C69" t="s">
        <v>1790</v>
      </c>
      <c r="D69" s="2">
        <v>12</v>
      </c>
      <c r="E69" s="2">
        <v>20</v>
      </c>
      <c r="F69" s="3" t="str">
        <f>HYPERLINK("http://www.sah.co.rs/dx3d-da0-02.html?___store=serbian"," Pogledajte proizvod na sajtu -&gt;")</f>
        <v> Pogledajte proizvod na sajtu -&gt;</v>
      </c>
    </row>
    <row r="70" spans="1:6" ht="12.75">
      <c r="A70" s="2">
        <v>69</v>
      </c>
      <c r="B70" t="s">
        <v>1791</v>
      </c>
      <c r="C70" t="s">
        <v>1790</v>
      </c>
      <c r="D70" s="2">
        <v>1</v>
      </c>
      <c r="E70" s="2">
        <v>22</v>
      </c>
      <c r="F70" s="3" t="str">
        <f>HYPERLINK("http://www.sah.co.rs/dx2d-da0-02.html?___store=serbian"," Pogledajte proizvod na sajtu -&gt;")</f>
        <v> Pogledajte proizvod na sajtu -&gt;</v>
      </c>
    </row>
    <row r="71" spans="1:6" ht="12.75">
      <c r="A71" s="2">
        <v>70</v>
      </c>
      <c r="B71" t="s">
        <v>1792</v>
      </c>
      <c r="C71" t="s">
        <v>1793</v>
      </c>
      <c r="D71" s="2">
        <v>0</v>
      </c>
      <c r="E71" s="2">
        <v>18</v>
      </c>
      <c r="F71" s="3" t="str">
        <f>HYPERLINK("http://www.sah.co.rs/dhc6p-da.html?___store=serbian"," Pogledajte proizvod na sajtu -&gt;")</f>
        <v> Pogledajte proizvod na sajtu -&gt;</v>
      </c>
    </row>
    <row r="72" spans="1:6" ht="12.75">
      <c r="A72" s="2">
        <v>71</v>
      </c>
      <c r="B72" t="s">
        <v>1794</v>
      </c>
      <c r="C72" t="s">
        <v>1795</v>
      </c>
      <c r="D72" s="2">
        <v>51</v>
      </c>
      <c r="E72" s="2">
        <v>8</v>
      </c>
      <c r="F72" s="3" t="str">
        <f>HYPERLINK("http://www.sah.co.rs/d69-30-19-99vdc.html?___store=serbian"," Pogledajte proizvod na sajtu -&gt;")</f>
        <v> Pogledajte proizvod na sajtu -&gt;</v>
      </c>
    </row>
    <row r="73" spans="1:6" ht="12.75">
      <c r="A73" s="2">
        <v>72</v>
      </c>
      <c r="B73" t="s">
        <v>1796</v>
      </c>
      <c r="C73" t="s">
        <v>1797</v>
      </c>
      <c r="D73" s="2">
        <v>38</v>
      </c>
      <c r="E73" s="2">
        <v>8</v>
      </c>
      <c r="F73" s="3" t="str">
        <f>HYPERLINK("http://www.sah.co.rs/d69-30-199-9mvdc.html?___store=serbian"," Pogledajte proizvod na sajtu -&gt;")</f>
        <v> Pogledajte proizvod na sajtu -&gt;</v>
      </c>
    </row>
    <row r="74" spans="1:6" ht="12.75">
      <c r="A74" s="2">
        <v>73</v>
      </c>
      <c r="B74" t="s">
        <v>1798</v>
      </c>
      <c r="C74" t="s">
        <v>1799</v>
      </c>
      <c r="D74" s="2">
        <v>1</v>
      </c>
      <c r="E74" s="2">
        <v>18</v>
      </c>
      <c r="F74" s="3" t="str">
        <f>HYPERLINK("http://www.sah.co.rs/dx3-dv20.html?___store=serbian"," Pogledajte proizvod na sajtu -&gt;")</f>
        <v> Pogledajte proizvod na sajtu -&gt;</v>
      </c>
    </row>
    <row r="75" spans="1:6" ht="12.75">
      <c r="A75" s="2">
        <v>74</v>
      </c>
      <c r="B75" t="s">
        <v>1800</v>
      </c>
      <c r="C75" t="s">
        <v>1801</v>
      </c>
      <c r="D75" s="2">
        <v>32</v>
      </c>
      <c r="E75" s="2">
        <v>18</v>
      </c>
      <c r="F75" s="3" t="str">
        <f>HYPERLINK("http://www.sah.co.rs/dhc6p-dv.html?___store=serbian"," Pogledajte proizvod na sajtu -&gt;")</f>
        <v> Pogledajte proizvod na sajtu -&gt;</v>
      </c>
    </row>
    <row r="76" spans="1:6" ht="12.75">
      <c r="A76" s="2">
        <v>75</v>
      </c>
      <c r="B76" t="s">
        <v>1802</v>
      </c>
      <c r="C76" t="s">
        <v>1803</v>
      </c>
      <c r="D76" s="2">
        <v>22</v>
      </c>
      <c r="E76" s="2">
        <v>18</v>
      </c>
      <c r="F76" s="3" t="str">
        <f>HYPERLINK("http://www.sah.co.rs/dx2f-dv20.html?___store=serbian"," Pogledajte proizvod na sajtu -&gt;")</f>
        <v> Pogledajte proizvod na sajtu -&gt;</v>
      </c>
    </row>
    <row r="77" spans="1:6" ht="12.75">
      <c r="A77" s="2">
        <v>76</v>
      </c>
      <c r="B77" t="s">
        <v>1804</v>
      </c>
      <c r="C77" t="s">
        <v>1805</v>
      </c>
      <c r="D77" s="2">
        <v>7</v>
      </c>
      <c r="E77" s="2">
        <v>12</v>
      </c>
      <c r="F77" s="3" t="str">
        <f>HYPERLINK("http://www.sah.co.rs/dm4a-fr1.html?___store=serbian"," Pogledajte proizvod na sajtu -&gt;")</f>
        <v> Pogledajte proizvod na sajtu -&gt;</v>
      </c>
    </row>
    <row r="78" spans="1:6" ht="12.75">
      <c r="A78" s="2">
        <v>77</v>
      </c>
      <c r="B78" t="s">
        <v>1806</v>
      </c>
      <c r="C78" t="s">
        <v>1807</v>
      </c>
      <c r="D78" s="2">
        <v>18</v>
      </c>
      <c r="E78" s="2">
        <v>50</v>
      </c>
      <c r="F78" s="3" t="str">
        <f>HYPERLINK("http://www.sah.co.rs/fa8-rb10.html?___store=serbian"," Pogledajte proizvod na sajtu -&gt;")</f>
        <v> Pogledajte proizvod na sajtu -&gt;</v>
      </c>
    </row>
    <row r="79" spans="1:6" ht="12.75">
      <c r="A79" s="2">
        <v>78</v>
      </c>
      <c r="B79" t="s">
        <v>1808</v>
      </c>
      <c r="C79" t="s">
        <v>1809</v>
      </c>
      <c r="D79" s="2">
        <v>9</v>
      </c>
      <c r="E79" s="2">
        <v>50</v>
      </c>
      <c r="F79" s="3" t="str">
        <f>HYPERLINK("http://www.sah.co.rs/fa8-rb10h.html?___store=serbian"," Pogledajte proizvod na sajtu -&gt;")</f>
        <v> Pogledajte proizvod na sajtu -&gt;</v>
      </c>
    </row>
    <row r="80" spans="1:6" ht="12.75">
      <c r="A80" s="2">
        <v>79</v>
      </c>
      <c r="B80" t="s">
        <v>1810</v>
      </c>
      <c r="C80" t="s">
        <v>1811</v>
      </c>
      <c r="D80" s="2">
        <v>12</v>
      </c>
      <c r="E80" s="2">
        <v>45</v>
      </c>
      <c r="F80" s="3" t="str">
        <f>HYPERLINK("http://www.sah.co.rs/dp4-fr1.html?___store=serbian"," Pogledajte proizvod na sajtu -&gt;")</f>
        <v> Pogledajte proizvod na sajtu -&gt;</v>
      </c>
    </row>
    <row r="81" spans="1:6" ht="12.75">
      <c r="A81" s="2">
        <v>80</v>
      </c>
      <c r="B81" t="s">
        <v>1812</v>
      </c>
      <c r="C81" t="s">
        <v>1813</v>
      </c>
      <c r="D81" s="2">
        <v>77</v>
      </c>
      <c r="E81" s="2">
        <v>18</v>
      </c>
      <c r="F81" s="3" t="str">
        <f>HYPERLINK("http://www.sah.co.rs/dhc6w-j400.html?___store=serbian"," Pogledajte proizvod na sajtu -&gt;")</f>
        <v> Pogledajte proizvod na sajtu -&gt;</v>
      </c>
    </row>
    <row r="82" spans="1:6" ht="12.75">
      <c r="A82" s="2">
        <v>81</v>
      </c>
      <c r="B82" t="s">
        <v>1814</v>
      </c>
      <c r="C82" t="s">
        <v>1815</v>
      </c>
      <c r="D82" s="2">
        <v>42</v>
      </c>
      <c r="E82" s="2">
        <v>28</v>
      </c>
      <c r="F82" s="3" t="str">
        <f>HYPERLINK("http://www.sah.co.rs/dhc6ws-j400.html?___store=serbian"," Pogledajte proizvod na sajtu -&gt;")</f>
        <v> Pogledajte proizvod na sajtu -&gt;</v>
      </c>
    </row>
    <row r="83" spans="1:6" ht="12.75">
      <c r="A83" s="2">
        <v>82</v>
      </c>
      <c r="B83" t="s">
        <v>1816</v>
      </c>
      <c r="C83" t="s">
        <v>1817</v>
      </c>
      <c r="D83" s="2">
        <v>57</v>
      </c>
      <c r="E83" s="2">
        <v>18</v>
      </c>
      <c r="F83" s="3" t="str">
        <f>HYPERLINK("http://www.sah.co.rs/dhc6w-k400.html?___store=serbian"," Pogledajte proizvod na sajtu -&gt;")</f>
        <v> Pogledajte proizvod na sajtu -&gt;</v>
      </c>
    </row>
    <row r="84" spans="1:6" ht="12.75">
      <c r="A84" s="2">
        <v>83</v>
      </c>
      <c r="B84" t="s">
        <v>1818</v>
      </c>
      <c r="C84" t="s">
        <v>1819</v>
      </c>
      <c r="D84" s="2">
        <v>42</v>
      </c>
      <c r="E84" s="2">
        <v>28</v>
      </c>
      <c r="F84" s="3" t="str">
        <f>HYPERLINK("http://www.sah.co.rs/dhc6ws-k400.html?___store=serbian"," Pogledajte proizvod na sajtu -&gt;")</f>
        <v> Pogledajte proizvod na sajtu -&gt;</v>
      </c>
    </row>
    <row r="85" spans="1:6" ht="12.75">
      <c r="A85" s="2">
        <v>84</v>
      </c>
      <c r="B85" t="s">
        <v>1820</v>
      </c>
      <c r="C85" t="s">
        <v>1821</v>
      </c>
      <c r="D85" s="2">
        <v>56</v>
      </c>
      <c r="E85" s="2">
        <v>28</v>
      </c>
      <c r="F85" s="3" t="str">
        <f>HYPERLINK("http://www.sah.co.rs/dhc6ws-pt400.html?___store=serbian"," Pogledajte proizvod na sajtu -&gt;")</f>
        <v> Pogledajte proizvod na sajtu -&gt;</v>
      </c>
    </row>
    <row r="86" spans="1:6" ht="12.75">
      <c r="A86" s="2">
        <v>85</v>
      </c>
      <c r="B86" t="s">
        <v>1822</v>
      </c>
      <c r="C86" t="s">
        <v>1823</v>
      </c>
      <c r="D86" s="2">
        <v>105</v>
      </c>
      <c r="E86" s="2">
        <v>28</v>
      </c>
      <c r="F86" s="3" t="str">
        <f>HYPERLINK("http://www.sah.co.rs/dhc6ws-pt100.html?___store=serbian"," Pogledajte proizvod na sajtu -&gt;")</f>
        <v> Pogledajte proizvod na sajtu -&gt;</v>
      </c>
    </row>
    <row r="87" spans="1:6" ht="12.75">
      <c r="A87" s="2">
        <v>86</v>
      </c>
      <c r="B87" t="s">
        <v>1824</v>
      </c>
      <c r="C87" t="s">
        <v>1825</v>
      </c>
      <c r="D87" s="2">
        <v>12</v>
      </c>
      <c r="E87" s="2">
        <v>18</v>
      </c>
      <c r="F87" s="3" t="str">
        <f>HYPERLINK("http://www.sah.co.rs/dhc6w-pt400.html?___store=serbian"," Pogledajte proizvod na sajtu -&gt;")</f>
        <v> Pogledajte proizvod na sajtu -&gt;</v>
      </c>
    </row>
    <row r="88" spans="1:6" ht="12.75">
      <c r="A88" s="2">
        <v>87</v>
      </c>
      <c r="B88" t="s">
        <v>1826</v>
      </c>
      <c r="C88" t="s">
        <v>1827</v>
      </c>
      <c r="D88" s="2">
        <v>1</v>
      </c>
      <c r="E88" s="2">
        <v>18</v>
      </c>
      <c r="F88" s="3" t="str">
        <f>HYPERLINK("http://www.sah.co.rs/dhc6w-pt100.html?___store=serbian"," Pogledajte proizvod na sajtu -&gt;")</f>
        <v> Pogledajte proizvod na sajtu -&gt;</v>
      </c>
    </row>
    <row r="89" spans="1:6" ht="12.75">
      <c r="A89" s="2">
        <v>88</v>
      </c>
      <c r="B89" t="s">
        <v>1828</v>
      </c>
      <c r="C89" t="s">
        <v>1829</v>
      </c>
      <c r="D89" s="2">
        <v>9</v>
      </c>
      <c r="E89" s="2">
        <v>50</v>
      </c>
      <c r="F89" s="3" t="str">
        <f>HYPERLINK("http://www.sah.co.rs/st8f-a10.html?___store=serbian"," Pogledajte proizvod na sajtu -&gt;")</f>
        <v> Pogledajte proizvod na sajtu -&gt;</v>
      </c>
    </row>
    <row r="90" spans="1:6" ht="12.75">
      <c r="A90" s="2">
        <v>89</v>
      </c>
      <c r="B90" t="s">
        <v>1830</v>
      </c>
      <c r="C90" t="s">
        <v>1831</v>
      </c>
      <c r="D90" s="2">
        <v>29</v>
      </c>
      <c r="E90" s="2">
        <v>50</v>
      </c>
      <c r="F90" s="3" t="str">
        <f>HYPERLINK("http://www.sah.co.rs/sd8-rc10b-t.html?___store=serbian"," Pogledajte proizvod na sajtu -&gt;")</f>
        <v> Pogledajte proizvod na sajtu -&gt;</v>
      </c>
    </row>
    <row r="91" spans="1:6" ht="12.75">
      <c r="A91" s="2">
        <v>90</v>
      </c>
      <c r="B91" t="s">
        <v>1832</v>
      </c>
      <c r="C91" t="s">
        <v>1833</v>
      </c>
      <c r="D91" s="2">
        <v>83</v>
      </c>
      <c r="E91" s="2">
        <v>28</v>
      </c>
      <c r="F91" s="3" t="str">
        <f>HYPERLINK("http://www.sah.co.rs/dhc6p-sva1.html?___store=serbian"," Pogledajte proizvod na sajtu -&gt;")</f>
        <v> Pogledajte proizvod na sajtu -&gt;</v>
      </c>
    </row>
    <row r="92" spans="1:6" ht="12.75">
      <c r="A92" s="2">
        <v>91</v>
      </c>
      <c r="B92" t="s">
        <v>1834</v>
      </c>
      <c r="C92" t="s">
        <v>1835</v>
      </c>
      <c r="D92" s="2">
        <v>133</v>
      </c>
      <c r="E92" s="2">
        <v>35</v>
      </c>
      <c r="F92" s="3" t="str">
        <f>HYPERLINK("http://www.sah.co.rs/dhc6p-svr.html?___store=serbian"," Pogledajte proizvod na sajtu -&gt;")</f>
        <v> Pogledajte proizvod na sajtu -&gt;</v>
      </c>
    </row>
    <row r="93" spans="1:6" ht="12.75">
      <c r="A93" s="2">
        <v>92</v>
      </c>
      <c r="B93" t="s">
        <v>1836</v>
      </c>
      <c r="C93" t="s">
        <v>1837</v>
      </c>
      <c r="D93" s="2">
        <v>64</v>
      </c>
      <c r="E93" s="2">
        <v>45</v>
      </c>
      <c r="F93" s="3" t="str">
        <f>HYPERLINK("http://www.sah.co.rs/sd8-rc10b.html?___store=serbian"," Pogledajte proizvod na sajtu -&gt;")</f>
        <v> Pogledajte proizvod na sajtu -&gt;</v>
      </c>
    </row>
    <row r="94" spans="1:6" ht="12.75">
      <c r="A94" s="2">
        <v>93</v>
      </c>
      <c r="B94" t="s">
        <v>1838</v>
      </c>
      <c r="C94" t="s">
        <v>1839</v>
      </c>
      <c r="D94" s="2">
        <v>26</v>
      </c>
      <c r="E94" s="2">
        <v>18</v>
      </c>
      <c r="F94" s="3" t="str">
        <f>HYPERLINK("http://www.sah.co.rs/dhc6p-z.html?___store=serbian"," Pogledajte proizvod na sajtu -&gt;")</f>
        <v> Pogledajte proizvod na sajtu -&gt;</v>
      </c>
    </row>
    <row r="95" spans="1:6" ht="12.75">
      <c r="A95" s="2">
        <v>94</v>
      </c>
      <c r="B95" t="s">
        <v>1840</v>
      </c>
      <c r="C95" t="s">
        <v>1841</v>
      </c>
      <c r="D95" s="2">
        <v>44</v>
      </c>
      <c r="E95" s="2">
        <v>15</v>
      </c>
      <c r="F95" s="3" t="str">
        <f>HYPERLINK("http://www.sah.co.rs/dvc1pb-va.html?___store=serbian"," Pogledajte proizvod na sajtu -&gt;")</f>
        <v> Pogledajte proizvod na sajtu -&gt;</v>
      </c>
    </row>
    <row r="96" spans="1:6" ht="12.75">
      <c r="A96" s="2">
        <v>95</v>
      </c>
      <c r="B96" t="s">
        <v>1842</v>
      </c>
      <c r="C96" t="s">
        <v>1843</v>
      </c>
      <c r="D96" s="2">
        <v>0</v>
      </c>
      <c r="E96" s="2">
        <v>60</v>
      </c>
      <c r="F96" s="3" t="str">
        <f>HYPERLINK("http://www.sah.co.rs/sv8f-dc10.html?___store=serbian"," Pogledajte proizvod na sajtu -&gt;")</f>
        <v> Pogledajte proizvod na sajtu -&gt;</v>
      </c>
    </row>
    <row r="97" spans="1:6" ht="12.75">
      <c r="A97" s="2">
        <v>96</v>
      </c>
      <c r="B97" t="s">
        <v>1844</v>
      </c>
      <c r="C97" t="s">
        <v>1845</v>
      </c>
      <c r="D97" s="2">
        <v>12</v>
      </c>
      <c r="E97" s="2">
        <v>55</v>
      </c>
      <c r="F97" s="3" t="str">
        <f>HYPERLINK("http://www.sah.co.rs/sv8-dc10.html?___store=serbian"," Pogledajte proizvod na sajtu -&gt;")</f>
        <v> Pogledajte proizvod na sajtu -&gt;</v>
      </c>
    </row>
    <row r="98" spans="1:6" ht="12.75">
      <c r="A98" s="2">
        <v>97</v>
      </c>
      <c r="B98" t="s">
        <v>1846</v>
      </c>
      <c r="C98" t="s">
        <v>1847</v>
      </c>
      <c r="D98" s="2">
        <v>11</v>
      </c>
      <c r="E98" s="2">
        <v>60</v>
      </c>
      <c r="F98" s="3" t="str">
        <f>HYPERLINK("http://www.sah.co.rs/sv8-dc18.html?___store=serbian"," Pogledajte proizvod na sajtu -&gt;")</f>
        <v> Pogledajte proizvod na sajtu -&gt;</v>
      </c>
    </row>
    <row r="99" spans="1:6" ht="12.75">
      <c r="A99" s="2">
        <v>98</v>
      </c>
      <c r="B99" t="s">
        <v>1848</v>
      </c>
      <c r="C99" t="s">
        <v>1849</v>
      </c>
      <c r="D99" s="2">
        <v>3</v>
      </c>
      <c r="E99" s="2">
        <v>110</v>
      </c>
      <c r="F99" s="3" t="str">
        <f>HYPERLINK("http://www.sah.co.rs/hn-120sx.html?___store=serbian"," Pogledajte proizvod na sajtu -&gt;")</f>
        <v> Pogledajte proizvod na sajtu -&gt;</v>
      </c>
    </row>
    <row r="100" spans="1:6" ht="12.75">
      <c r="A100" s="2">
        <v>99</v>
      </c>
      <c r="B100" t="s">
        <v>1850</v>
      </c>
      <c r="C100" t="s">
        <v>1851</v>
      </c>
      <c r="D100" s="2">
        <v>21</v>
      </c>
      <c r="E100" s="2">
        <v>50</v>
      </c>
      <c r="F100" s="3" t="str">
        <f>HYPERLINK("http://www.sah.co.rs/sv8-rc10w.html?___store=serbian"," Pogledajte proizvod na sajtu -&gt;")</f>
        <v> Pogledajte proizvod na sajtu -&gt;</v>
      </c>
    </row>
    <row r="101" spans="1:6" ht="12.75">
      <c r="A101" s="2">
        <v>100</v>
      </c>
      <c r="B101" t="s">
        <v>1852</v>
      </c>
      <c r="C101" t="s">
        <v>1853</v>
      </c>
      <c r="D101" s="2">
        <v>5</v>
      </c>
      <c r="E101" s="2">
        <v>55</v>
      </c>
      <c r="F101" s="3" t="str">
        <f>HYPERLINK("http://www.sah.co.rs/sv8-dc10w.html?___store=serbian"," Pogledajte proizvod na sajtu -&gt;")</f>
        <v> Pogledajte proizvod na sajtu -&gt;</v>
      </c>
    </row>
    <row r="102" spans="1:6" ht="12.75">
      <c r="A102" s="2">
        <v>101</v>
      </c>
      <c r="B102" t="s">
        <v>1854</v>
      </c>
      <c r="C102" t="s">
        <v>1855</v>
      </c>
      <c r="D102" s="2">
        <v>16</v>
      </c>
      <c r="E102" s="2">
        <v>60</v>
      </c>
      <c r="F102" s="3" t="str">
        <f>HYPERLINK("http://www.sah.co.rs/sv8f-dc10w.html?___store=serbian"," Pogledajte proizvod na sajtu -&gt;")</f>
        <v> Pogledajte proizvod na sajtu -&gt;</v>
      </c>
    </row>
    <row r="103" spans="1:6" ht="12.75">
      <c r="A103" s="2">
        <v>102</v>
      </c>
      <c r="B103" t="s">
        <v>1856</v>
      </c>
      <c r="C103" t="s">
        <v>1857</v>
      </c>
      <c r="D103" s="2">
        <v>10</v>
      </c>
      <c r="E103" s="2">
        <v>70</v>
      </c>
      <c r="F103" s="3" t="str">
        <f>HYPERLINK("http://www.sah.co.rs/sv8f-dc18w.html?___store=serbian"," Pogledajte proizvod na sajtu -&gt;")</f>
        <v> Pogledajte proizvod na sajtu -&gt;</v>
      </c>
    </row>
    <row r="104" spans="1:6" ht="12.75">
      <c r="A104" s="2">
        <v>103</v>
      </c>
      <c r="B104" t="s">
        <v>1858</v>
      </c>
      <c r="C104" t="s">
        <v>1859</v>
      </c>
      <c r="D104" s="2">
        <v>21</v>
      </c>
      <c r="E104" s="2">
        <v>15</v>
      </c>
      <c r="F104" s="3" t="str">
        <f>HYPERLINK("http://www.sah.co.rs/ds5230-p.html?___store=serbian"," Pogledajte proizvod na sajtu -&gt;")</f>
        <v> Pogledajte proizvod na sajtu -&gt;</v>
      </c>
    </row>
    <row r="105" spans="1:6" ht="12.75">
      <c r="A105" s="2">
        <v>104</v>
      </c>
      <c r="B105" t="s">
        <v>1860</v>
      </c>
      <c r="C105" t="s">
        <v>1861</v>
      </c>
      <c r="D105" s="2">
        <v>67</v>
      </c>
      <c r="E105" s="2">
        <v>15</v>
      </c>
      <c r="F105" s="3" t="str">
        <f>HYPERLINK("http://www.sah.co.rs/ds5240-u.html?___store=serbian"," Pogledajte proizvod na sajtu -&gt;")</f>
        <v> Pogledajte proizvod na sajtu -&gt;</v>
      </c>
    </row>
    <row r="106" spans="1:6" ht="12.75">
      <c r="A106" s="2">
        <v>105</v>
      </c>
      <c r="B106" t="s">
        <v>1862</v>
      </c>
      <c r="C106" t="s">
        <v>1861</v>
      </c>
      <c r="D106" s="2">
        <v>37</v>
      </c>
      <c r="E106" s="2">
        <v>15</v>
      </c>
      <c r="F106" s="3" t="str">
        <f>HYPERLINK("http://www.sah.co.rs/ds5220-u.html?___store=serbian"," Pogledajte proizvod na sajtu -&gt;")</f>
        <v> Pogledajte proizvod na sajtu -&gt;</v>
      </c>
    </row>
    <row r="107" spans="1:6" ht="12.75">
      <c r="A107" s="2">
        <v>106</v>
      </c>
      <c r="B107" t="s">
        <v>1863</v>
      </c>
      <c r="C107" t="s">
        <v>1864</v>
      </c>
      <c r="D107" s="2">
        <v>27</v>
      </c>
      <c r="E107" s="2">
        <v>15</v>
      </c>
      <c r="F107" s="3" t="str">
        <f>HYPERLINK("http://www.sah.co.rs/am-hn-72-220vac-frekvencmetar.html?___store=serbian"," Pogledajte proizvod na sajtu -&gt;")</f>
        <v> Pogledajte proizvod na sajtu -&gt;</v>
      </c>
    </row>
    <row r="108" spans="1:6" ht="12.75">
      <c r="A108" s="2">
        <v>107</v>
      </c>
      <c r="B108" t="s">
        <v>1865</v>
      </c>
      <c r="C108" t="s">
        <v>1866</v>
      </c>
      <c r="D108" s="2">
        <v>36</v>
      </c>
      <c r="E108" s="2">
        <v>15</v>
      </c>
      <c r="F108" s="3" t="str">
        <f>HYPERLINK("http://www.sah.co.rs/am-hn-72-380vac-frekvencmetar.html?___store=serbian"," Pogledajte proizvod na sajtu -&gt;")</f>
        <v> Pogledajte proizvod na sajtu -&gt;</v>
      </c>
    </row>
    <row r="109" spans="1:6" ht="12.75">
      <c r="A109" s="2">
        <v>108</v>
      </c>
      <c r="B109" t="s">
        <v>1867</v>
      </c>
      <c r="C109" t="s">
        <v>1868</v>
      </c>
      <c r="D109" s="2">
        <v>268</v>
      </c>
      <c r="E109" s="2">
        <v>10</v>
      </c>
      <c r="F109" s="3" t="str">
        <f>HYPERLINK("http://www.sah.co.rs/ad22-22a-60a-red.html?___store=serbian"," Pogledajte proizvod na sajtu -&gt;")</f>
        <v> Pogledajte proizvod na sajtu -&gt;</v>
      </c>
    </row>
    <row r="110" spans="1:6" ht="12.75">
      <c r="A110" s="2">
        <v>109</v>
      </c>
      <c r="B110" t="s">
        <v>1869</v>
      </c>
      <c r="C110" t="s">
        <v>1870</v>
      </c>
      <c r="D110" s="2">
        <v>176</v>
      </c>
      <c r="E110" s="2">
        <v>10</v>
      </c>
      <c r="F110" s="3" t="str">
        <f>HYPERLINK("http://www.sah.co.rs/ad22-22a-60a-green.html?___store=serbian"," Pogledajte proizvod na sajtu -&gt;")</f>
        <v> Pogledajte proizvod na sajtu -&gt;</v>
      </c>
    </row>
    <row r="111" spans="1:6" ht="12.75">
      <c r="A111" s="2">
        <v>110</v>
      </c>
      <c r="B111" t="s">
        <v>1871</v>
      </c>
      <c r="C111" t="s">
        <v>1872</v>
      </c>
      <c r="D111" s="2">
        <v>97</v>
      </c>
      <c r="E111" s="2">
        <v>10</v>
      </c>
      <c r="F111" s="3" t="str">
        <f>HYPERLINK("http://www.sah.co.rs/ad22-22a-60a-yellow.html?___store=serbian"," Pogledajte proizvod na sajtu -&gt;")</f>
        <v> Pogledajte proizvod na sajtu -&gt;</v>
      </c>
    </row>
    <row r="112" spans="1:6" ht="12.75">
      <c r="A112" s="2">
        <v>111</v>
      </c>
      <c r="B112" t="s">
        <v>1873</v>
      </c>
      <c r="C112" t="s">
        <v>1874</v>
      </c>
      <c r="D112" s="2">
        <v>682</v>
      </c>
      <c r="E112" s="2">
        <v>5</v>
      </c>
      <c r="F112" s="3" t="str">
        <f>HYPERLINK("http://www.sah.co.rs/ad16-22-mini-panel-voltmetar-crveni.html?___store=serbian"," Pogledajte proizvod na sajtu -&gt;")</f>
        <v> Pogledajte proizvod na sajtu -&gt;</v>
      </c>
    </row>
    <row r="113" spans="1:6" ht="12.75">
      <c r="A113" s="2">
        <v>112</v>
      </c>
      <c r="B113" t="s">
        <v>1875</v>
      </c>
      <c r="C113" t="s">
        <v>1876</v>
      </c>
      <c r="D113" s="2">
        <v>260</v>
      </c>
      <c r="E113" s="2">
        <v>5</v>
      </c>
      <c r="F113" s="3" t="str">
        <f>HYPERLINK("http://www.sah.co.rs/ad16-22-mini-panel-voltmetar-zeleni.html?___store=serbian"," Pogledajte proizvod na sajtu -&gt;")</f>
        <v> Pogledajte proizvod na sajtu -&gt;</v>
      </c>
    </row>
    <row r="114" spans="1:6" ht="12.75">
      <c r="A114" s="2">
        <v>113</v>
      </c>
      <c r="B114" t="s">
        <v>1877</v>
      </c>
      <c r="C114" t="s">
        <v>1878</v>
      </c>
      <c r="D114" s="2">
        <v>465</v>
      </c>
      <c r="E114" s="2">
        <v>5</v>
      </c>
      <c r="F114" s="3" t="str">
        <f>HYPERLINK("http://www.sah.co.rs/ad16-22-mini-panel-voltmetar-zuti.html?___store=serbian"," Pogledajte proizvod na sajtu -&gt;")</f>
        <v> Pogledajte proizvod na sajtu -&gt;</v>
      </c>
    </row>
    <row r="115" spans="1:6" ht="12.75">
      <c r="A115" s="2">
        <v>114</v>
      </c>
      <c r="B115" t="s">
        <v>1879</v>
      </c>
      <c r="C115" t="s">
        <v>1880</v>
      </c>
      <c r="D115" s="2">
        <v>20</v>
      </c>
      <c r="E115" s="2">
        <v>75</v>
      </c>
      <c r="F115" s="3" t="str">
        <f>HYPERLINK("http://www.sah.co.rs/lm8-irrd.html?___store=serbian"," Pogledajte proizvod na sajtu -&gt;")</f>
        <v> Pogledajte proizvod na sajtu -&gt;</v>
      </c>
    </row>
    <row r="116" spans="1:6" ht="12.75">
      <c r="A116" s="2">
        <v>115</v>
      </c>
      <c r="B116" t="s">
        <v>1881</v>
      </c>
      <c r="C116" t="s">
        <v>1882</v>
      </c>
      <c r="D116" s="2">
        <v>24</v>
      </c>
      <c r="E116" s="2">
        <v>105</v>
      </c>
      <c r="F116" s="3" t="str">
        <f>HYPERLINK("http://www.sah.co.rs/lh86-vrrd.html?___store=serbian"," Pogledajte proizvod na sajtu -&gt;")</f>
        <v> Pogledajte proizvod na sajtu -&gt;</v>
      </c>
    </row>
    <row r="117" spans="1:6" ht="12.75">
      <c r="A117" s="2">
        <v>116</v>
      </c>
      <c r="B117" t="s">
        <v>1883</v>
      </c>
      <c r="C117" t="s">
        <v>1884</v>
      </c>
      <c r="D117" s="2">
        <v>67</v>
      </c>
      <c r="E117" s="2">
        <v>105</v>
      </c>
      <c r="F117" s="3" t="str">
        <f>HYPERLINK("http://www.sah.co.rs/lh86-irrd.html?___store=serbian"," Pogledajte proizvod na sajtu -&gt;")</f>
        <v> Pogledajte proizvod na sajtu -&gt;</v>
      </c>
    </row>
    <row r="118" spans="1:6" ht="12.75">
      <c r="A118" s="2">
        <v>117</v>
      </c>
      <c r="B118" t="s">
        <v>1885</v>
      </c>
      <c r="C118" t="s">
        <v>1886</v>
      </c>
      <c r="D118" s="2">
        <v>26</v>
      </c>
      <c r="E118" s="2">
        <v>130</v>
      </c>
      <c r="F118" s="3" t="str">
        <f>HYPERLINK("http://www.sah.co.rs/lh86-irr4d.html?___store=serbian"," Pogledajte proizvod na sajtu -&gt;")</f>
        <v> Pogledajte proizvod na sajtu -&gt;</v>
      </c>
    </row>
    <row r="119" spans="1:6" ht="12.75">
      <c r="A119" s="2">
        <v>118</v>
      </c>
      <c r="B119" t="s">
        <v>1887</v>
      </c>
      <c r="C119" t="s">
        <v>1886</v>
      </c>
      <c r="D119" s="2">
        <v>0</v>
      </c>
      <c r="E119" s="2">
        <v>130</v>
      </c>
      <c r="F119" s="3" t="str">
        <f>HYPERLINK("http://www.sah.co.rs/lh8-irr4d.html?___store=serbian"," Pogledajte proizvod na sajtu -&gt;")</f>
        <v> Pogledajte proizvod na sajtu -&gt;</v>
      </c>
    </row>
    <row r="120" spans="1:6" ht="12.75">
      <c r="A120" s="2">
        <v>119</v>
      </c>
      <c r="B120" t="s">
        <v>1888</v>
      </c>
      <c r="C120" t="s">
        <v>1889</v>
      </c>
      <c r="D120" s="2">
        <v>21</v>
      </c>
      <c r="E120" s="2">
        <v>115</v>
      </c>
      <c r="F120" s="3" t="str">
        <f>HYPERLINK("http://www.sah.co.rs/lh86-irrrd.html?___store=serbian"," Pogledajte proizvod na sajtu -&gt;")</f>
        <v> Pogledajte proizvod na sajtu -&gt;</v>
      </c>
    </row>
    <row r="121" spans="1:6" ht="12.75">
      <c r="A121" s="2">
        <v>120</v>
      </c>
      <c r="B121" t="s">
        <v>1890</v>
      </c>
      <c r="C121" t="s">
        <v>1891</v>
      </c>
      <c r="D121" s="2">
        <v>8</v>
      </c>
      <c r="E121" s="2">
        <v>100</v>
      </c>
      <c r="F121" s="3" t="str">
        <f>HYPERLINK("http://www.sah.co.rs/la8-irr4a.html?___store=serbian","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7.00390625" style="0" customWidth="1"/>
    <col min="3" max="3" width="69.1406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1892</v>
      </c>
      <c r="C2" t="s">
        <v>1893</v>
      </c>
      <c r="D2" s="2">
        <v>435</v>
      </c>
      <c r="E2" s="2">
        <v>0.5</v>
      </c>
      <c r="F2" s="3" t="str">
        <f>HYPERLINK("http://www.sah.co.rs/mf-a01-6mm.html?___store=serbian"," Pogledajte proizvod na sajtu -&gt;")</f>
        <v> Pogledajte proizvod na sajtu -&gt;</v>
      </c>
    </row>
    <row r="3" spans="1:6" ht="12.75">
      <c r="A3" s="2">
        <v>2</v>
      </c>
      <c r="B3" t="s">
        <v>1894</v>
      </c>
      <c r="C3" t="s">
        <v>1895</v>
      </c>
      <c r="D3" s="2">
        <v>458</v>
      </c>
      <c r="E3" s="2">
        <v>0.5</v>
      </c>
      <c r="F3" s="3" t="str">
        <f>HYPERLINK("http://www.sah.co.rs/mf-a03-6mm.html?___store=serbian"," Pogledajte proizvod na sajtu -&gt;")</f>
        <v> Pogledajte proizvod na sajtu -&gt;</v>
      </c>
    </row>
    <row r="4" spans="1:6" ht="12.75">
      <c r="A4" s="2">
        <v>3</v>
      </c>
      <c r="B4" t="s">
        <v>1896</v>
      </c>
      <c r="C4" t="s">
        <v>1897</v>
      </c>
      <c r="D4" s="2">
        <v>1282</v>
      </c>
      <c r="E4" s="2">
        <v>1.5</v>
      </c>
      <c r="F4" s="3" t="str">
        <f>HYPERLINK("http://www.sah.co.rs/dzp-6-25.html?___store=serbian"," Pogledajte proizvod na sajtu -&gt;")</f>
        <v> Pogledajte proizvod na sajtu -&gt;</v>
      </c>
    </row>
    <row r="5" spans="1:6" ht="12.75">
      <c r="A5" s="2">
        <v>4</v>
      </c>
      <c r="B5" t="s">
        <v>1898</v>
      </c>
      <c r="C5" t="s">
        <v>1899</v>
      </c>
      <c r="D5" s="2">
        <v>1949</v>
      </c>
      <c r="E5" s="2">
        <v>1</v>
      </c>
      <c r="F5" s="3" t="str">
        <f>HYPERLINK("http://www.sah.co.rs/dzp-2006g.html?___store=serbian"," Pogledajte proizvod na sajtu -&gt;")</f>
        <v> Pogledajte proizvod na sajtu -&gt;</v>
      </c>
    </row>
    <row r="6" spans="1:6" ht="12.75">
      <c r="A6" s="2">
        <v>5</v>
      </c>
      <c r="B6" t="s">
        <v>1900</v>
      </c>
      <c r="C6" t="s">
        <v>1899</v>
      </c>
      <c r="D6" s="2">
        <v>1523</v>
      </c>
      <c r="E6" s="2">
        <v>1</v>
      </c>
      <c r="F6" s="3" t="str">
        <f>HYPERLINK("http://www.sah.co.rs/dzp-2006b.html?___store=serbian"," Pogledajte proizvod na sajtu -&gt;")</f>
        <v> Pogledajte proizvod na sajtu -&gt;</v>
      </c>
    </row>
    <row r="7" spans="1:6" ht="12.75">
      <c r="A7" s="2">
        <v>6</v>
      </c>
      <c r="B7" t="s">
        <v>1901</v>
      </c>
      <c r="C7" t="s">
        <v>1902</v>
      </c>
      <c r="D7" s="2">
        <v>196</v>
      </c>
      <c r="E7" s="2">
        <v>0.5</v>
      </c>
      <c r="F7" s="3" t="str">
        <f>HYPERLINK("http://www.sah.co.rs/mf-a01-6-3mm.html?___store=serbian"," Pogledajte proizvod na sajtu -&gt;")</f>
        <v> Pogledajte proizvod na sajtu -&gt;</v>
      </c>
    </row>
    <row r="8" spans="1:6" ht="12.75">
      <c r="A8" s="2">
        <v>7</v>
      </c>
      <c r="B8" t="s">
        <v>1903</v>
      </c>
      <c r="C8" t="s">
        <v>1904</v>
      </c>
      <c r="D8" s="2">
        <v>147</v>
      </c>
      <c r="E8" s="2">
        <v>0.6</v>
      </c>
      <c r="F8" s="3" t="str">
        <f>HYPERLINK("http://www.sah.co.rs/mf-a03-6-3mm.html?___store=serbian"," Pogledajte proizvod na sajtu -&gt;")</f>
        <v> Pogledajte proizvod na sajtu -&gt;</v>
      </c>
    </row>
    <row r="9" spans="1:6" ht="12.75">
      <c r="A9" s="2">
        <v>8</v>
      </c>
      <c r="B9" t="s">
        <v>1905</v>
      </c>
      <c r="C9" t="s">
        <v>1906</v>
      </c>
      <c r="D9" s="2">
        <v>186</v>
      </c>
      <c r="E9" s="2">
        <v>5</v>
      </c>
      <c r="F9" s="3" t="str">
        <f>HYPERLINK("http://www.sah.co.rs/wxd3-13.html?___store=serbian"," Pogledajte proizvod na sajtu -&gt;")</f>
        <v> Pogledajte proizvod na sajtu -&gt;</v>
      </c>
    </row>
    <row r="10" spans="1:6" ht="12.75">
      <c r="A10" s="2">
        <v>9</v>
      </c>
      <c r="B10" t="s">
        <v>1907</v>
      </c>
      <c r="C10" t="s">
        <v>1908</v>
      </c>
      <c r="D10" s="2">
        <v>22</v>
      </c>
      <c r="E10" s="2">
        <v>0.5</v>
      </c>
      <c r="F10" s="3" t="str">
        <f>HYPERLINK("http://www.sah.co.rs/r16k1-10k-15kc.html?___store=serbian"," Pogledajte proizvod na sajtu -&gt;")</f>
        <v> Pogledajte proizvod na sajtu -&gt;</v>
      </c>
    </row>
    <row r="11" spans="1:6" ht="12.75">
      <c r="A11" s="2">
        <v>10</v>
      </c>
      <c r="B11" t="s">
        <v>1909</v>
      </c>
      <c r="C11" t="s">
        <v>1910</v>
      </c>
      <c r="D11" s="2">
        <v>622</v>
      </c>
      <c r="E11" s="2">
        <v>0.3</v>
      </c>
      <c r="F11" s="3" t="str">
        <f>HYPERLINK("http://www.sah.co.rs/f-16kn-10k.html?___store=serbian"," Pogledajte proizvod na sajtu -&gt;")</f>
        <v> Pogledajte proizvod na sajtu -&gt;</v>
      </c>
    </row>
    <row r="12" spans="1:6" ht="12.75">
      <c r="A12" s="2">
        <v>11</v>
      </c>
      <c r="B12" t="s">
        <v>1911</v>
      </c>
      <c r="C12" t="s">
        <v>1912</v>
      </c>
      <c r="D12" s="2">
        <v>47</v>
      </c>
      <c r="E12" s="2">
        <v>0.5</v>
      </c>
      <c r="F12" s="3" t="str">
        <f>HYPERLINK("http://www.sah.co.rs/r16k1-1k-15kc.html?___store=serbian"," Pogledajte proizvod na sajtu -&gt;")</f>
        <v> Pogledajte proizvod na sajtu -&gt;</v>
      </c>
    </row>
    <row r="13" spans="1:6" ht="12.75">
      <c r="A13" s="2">
        <v>12</v>
      </c>
      <c r="B13" t="s">
        <v>1913</v>
      </c>
      <c r="C13" t="s">
        <v>1914</v>
      </c>
      <c r="D13" s="2">
        <v>763</v>
      </c>
      <c r="E13" s="2">
        <v>0.3</v>
      </c>
      <c r="F13" s="3" t="str">
        <f>HYPERLINK("http://www.sah.co.rs/f-16kn-2-2k.html?___store=serbian"," Pogledajte proizvod na sajtu -&gt;")</f>
        <v> Pogledajte proizvod na sajtu -&gt;</v>
      </c>
    </row>
    <row r="14" spans="1:6" ht="12.75">
      <c r="A14" s="2">
        <v>13</v>
      </c>
      <c r="B14" t="s">
        <v>1915</v>
      </c>
      <c r="C14" t="s">
        <v>1916</v>
      </c>
      <c r="D14" s="2">
        <v>587</v>
      </c>
      <c r="E14" s="2">
        <v>2</v>
      </c>
      <c r="F14" s="3" t="str">
        <f>HYPERLINK("http://www.sah.co.rs/pc20bu-470k.html?___store=serbian"," Pogledajte proizvod na sajtu -&gt;")</f>
        <v> Pogledajte proizvod na sajtu -&gt;</v>
      </c>
    </row>
    <row r="15" spans="1:6" ht="12.75">
      <c r="A15" s="2">
        <v>14</v>
      </c>
      <c r="B15" t="s">
        <v>1917</v>
      </c>
      <c r="C15" t="s">
        <v>1918</v>
      </c>
      <c r="D15" s="2">
        <v>75</v>
      </c>
      <c r="E15" s="2">
        <v>0.5</v>
      </c>
      <c r="F15" s="3" t="str">
        <f>HYPERLINK("http://www.sah.co.rs/r16k1-500k-15kc.html?___store=serbian"," Pogledajte proizvod na sajtu -&gt;")</f>
        <v> Pogledajte proizvod na sajtu -&gt;</v>
      </c>
    </row>
    <row r="16" spans="1:6" ht="12.75">
      <c r="A16" s="2">
        <v>15</v>
      </c>
      <c r="B16" t="s">
        <v>1919</v>
      </c>
      <c r="C16" t="s">
        <v>1920</v>
      </c>
      <c r="D16" s="2">
        <v>174</v>
      </c>
      <c r="E16" s="2">
        <v>0.5</v>
      </c>
      <c r="F16" s="3" t="str">
        <f>HYPERLINK("http://www.sah.co.rs/r16k1-5k-15kc.html?___store=serbian"," Pogledajte proizvod na sajtu -&gt;")</f>
        <v> Pogledajte proizvod na sajtu -&gt;</v>
      </c>
    </row>
    <row r="17" spans="1:6" ht="12.75">
      <c r="A17" s="2">
        <v>16</v>
      </c>
      <c r="B17" t="s">
        <v>1921</v>
      </c>
      <c r="C17" t="s">
        <v>1922</v>
      </c>
      <c r="D17" s="2">
        <v>1438</v>
      </c>
      <c r="E17" s="2">
        <v>0.3</v>
      </c>
      <c r="F17" s="3" t="str">
        <f>HYPERLINK("http://www.sah.co.rs/f-16kn-5k.html?___store=serbian"," Pogledajte proizvod na sajtu -&gt;")</f>
        <v> Pogledajte proizvod na sajtu -&gt;</v>
      </c>
    </row>
    <row r="18" spans="1:6" ht="12.75">
      <c r="A18" s="2">
        <v>17</v>
      </c>
      <c r="B18" t="s">
        <v>1923</v>
      </c>
      <c r="C18" t="s">
        <v>1924</v>
      </c>
      <c r="D18" s="2">
        <v>81</v>
      </c>
      <c r="E18" s="2">
        <v>5</v>
      </c>
      <c r="F18" s="3" t="str">
        <f>HYPERLINK("http://www.sah.co.rs/3590s-2-202l-10k.html?___store=serbian"," Pogledajte proizvod na sajtu -&gt;")</f>
        <v> Pogledajte proizvod na sajtu -&gt;</v>
      </c>
    </row>
    <row r="19" spans="1:6" ht="12.75">
      <c r="A19" s="2">
        <v>18</v>
      </c>
      <c r="B19" t="s">
        <v>1925</v>
      </c>
      <c r="C19" t="s">
        <v>1926</v>
      </c>
      <c r="D19" s="2">
        <v>62</v>
      </c>
      <c r="E19" s="2">
        <v>5</v>
      </c>
      <c r="F19" s="3" t="str">
        <f>HYPERLINK("http://www.sah.co.rs/3590s-2-202l-2-2k.html?___store=serbian"," Pogledajte proizvod na sajtu -&gt;")</f>
        <v> Pogledajte proizvod na sajtu -&gt;</v>
      </c>
    </row>
    <row r="20" spans="1:6" ht="12.75">
      <c r="A20" s="2">
        <v>19</v>
      </c>
      <c r="B20" t="s">
        <v>1927</v>
      </c>
      <c r="C20" t="s">
        <v>1928</v>
      </c>
      <c r="D20" s="2">
        <v>199</v>
      </c>
      <c r="E20" s="2">
        <v>5</v>
      </c>
      <c r="F20" s="3" t="str">
        <f>HYPERLINK("http://www.sah.co.rs/3590s-2-202l-5k.html?___store=serbian"," Pogledajte proizvod na sajtu -&gt;")</f>
        <v> Pogledajte proizvod na sajtu -&gt;</v>
      </c>
    </row>
    <row r="21" spans="1:6" ht="12.75">
      <c r="A21" s="2">
        <v>20</v>
      </c>
      <c r="B21" t="s">
        <v>1929</v>
      </c>
      <c r="C21" t="s">
        <v>1928</v>
      </c>
      <c r="D21" s="2">
        <v>20</v>
      </c>
      <c r="E21" s="2">
        <v>11</v>
      </c>
      <c r="F21" s="3" t="str">
        <f>HYPERLINK("http://www.sah.co.rs/pwp-534-5k.html?___store=serbian","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F90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6.140625" style="0" customWidth="1"/>
    <col min="3" max="3" width="123.003906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1930</v>
      </c>
      <c r="C2" t="s">
        <v>1931</v>
      </c>
      <c r="D2" s="2">
        <v>0</v>
      </c>
      <c r="E2" s="2">
        <v>100</v>
      </c>
      <c r="F2" s="3" t="str">
        <f>HYPERLINK("http://www.sah.co.rs/af-20mr-d.html?___store=serbian"," Pogledajte proizvod na sajtu -&gt;")</f>
        <v> Pogledajte proizvod na sajtu -&gt;</v>
      </c>
    </row>
    <row r="3" spans="1:6" ht="12.75">
      <c r="A3" s="2">
        <v>2</v>
      </c>
      <c r="B3" t="s">
        <v>1932</v>
      </c>
      <c r="C3" t="s">
        <v>1933</v>
      </c>
      <c r="D3" s="2">
        <v>2</v>
      </c>
      <c r="E3" s="2">
        <v>100</v>
      </c>
      <c r="F3" s="3" t="str">
        <f>HYPERLINK("http://www.sah.co.rs/af-20mt-d.html?___store=serbian"," Pogledajte proizvod na sajtu -&gt;")</f>
        <v> Pogledajte proizvod na sajtu -&gt;</v>
      </c>
    </row>
    <row r="4" spans="1:6" ht="12.75">
      <c r="A4" s="2">
        <v>3</v>
      </c>
      <c r="B4" t="s">
        <v>1934</v>
      </c>
      <c r="C4" t="s">
        <v>1935</v>
      </c>
      <c r="D4" s="2">
        <v>3</v>
      </c>
      <c r="E4" s="2">
        <v>70</v>
      </c>
      <c r="F4" s="3" t="str">
        <f>HYPERLINK("http://www.sah.co.rs/af-10mr-a.html?___store=serbian"," Pogledajte proizvod na sajtu -&gt;")</f>
        <v> Pogledajte proizvod na sajtu -&gt;</v>
      </c>
    </row>
    <row r="5" spans="1:6" ht="12.75">
      <c r="A5" s="2">
        <v>4</v>
      </c>
      <c r="B5" t="s">
        <v>1936</v>
      </c>
      <c r="C5" t="s">
        <v>1937</v>
      </c>
      <c r="D5" s="2">
        <v>0</v>
      </c>
      <c r="E5" s="2">
        <v>70</v>
      </c>
      <c r="F5" s="3" t="str">
        <f>HYPERLINK("http://www.sah.co.rs/af-10mt-e.html?___store=serbian"," Pogledajte proizvod na sajtu -&gt;")</f>
        <v> Pogledajte proizvod na sajtu -&gt;</v>
      </c>
    </row>
    <row r="6" spans="1:6" ht="12.75">
      <c r="A6" s="2">
        <v>5</v>
      </c>
      <c r="B6" t="s">
        <v>1938</v>
      </c>
      <c r="C6" t="s">
        <v>1939</v>
      </c>
      <c r="D6" s="2">
        <v>12</v>
      </c>
      <c r="E6" s="2">
        <v>80</v>
      </c>
      <c r="F6" s="3" t="str">
        <f>HYPERLINK("http://www.sah.co.rs/ma-16px.html?___store=serbian"," Pogledajte proizvod na sajtu -&gt;")</f>
        <v> Pogledajte proizvod na sajtu -&gt;</v>
      </c>
    </row>
    <row r="7" spans="1:6" ht="12.75">
      <c r="A7" s="2">
        <v>6</v>
      </c>
      <c r="B7" t="s">
        <v>1940</v>
      </c>
      <c r="C7" t="s">
        <v>1941</v>
      </c>
      <c r="D7" s="2">
        <v>11</v>
      </c>
      <c r="E7" s="2">
        <v>90</v>
      </c>
      <c r="F7" s="3" t="str">
        <f>HYPERLINK("http://www.sah.co.rs/ma-16yr.html?___store=serbian"," Pogledajte proizvod na sajtu -&gt;")</f>
        <v> Pogledajte proizvod na sajtu -&gt;</v>
      </c>
    </row>
    <row r="8" spans="1:6" ht="12.75">
      <c r="A8" s="2">
        <v>7</v>
      </c>
      <c r="B8" t="s">
        <v>1942</v>
      </c>
      <c r="C8" t="s">
        <v>1943</v>
      </c>
      <c r="D8" s="2">
        <v>5</v>
      </c>
      <c r="E8" s="2">
        <v>210</v>
      </c>
      <c r="F8" s="3" t="str">
        <f>HYPERLINK("http://www.sah.co.rs/ma-4ad2da.html?___store=serbian"," Pogledajte proizvod na sajtu -&gt;")</f>
        <v> Pogledajte proizvod na sajtu -&gt;</v>
      </c>
    </row>
    <row r="9" spans="1:6" ht="12.75">
      <c r="A9" s="2">
        <v>8</v>
      </c>
      <c r="B9" t="s">
        <v>1944</v>
      </c>
      <c r="C9" t="s">
        <v>1945</v>
      </c>
      <c r="D9" s="2">
        <v>2</v>
      </c>
      <c r="E9" s="2">
        <v>210</v>
      </c>
      <c r="F9" s="3" t="str">
        <f>HYPERLINK("http://www.sah.co.rs/ma-6tck-p.html?___store=serbian"," Pogledajte proizvod na sajtu -&gt;")</f>
        <v> Pogledajte proizvod na sajtu -&gt;</v>
      </c>
    </row>
    <row r="10" spans="1:6" ht="12.75">
      <c r="A10" s="2">
        <v>9</v>
      </c>
      <c r="B10" t="s">
        <v>1946</v>
      </c>
      <c r="C10" t="s">
        <v>1947</v>
      </c>
      <c r="D10" s="2">
        <v>10</v>
      </c>
      <c r="E10" s="2">
        <v>210</v>
      </c>
      <c r="F10" s="3" t="str">
        <f>HYPERLINK("http://www.sah.co.rs/ma-6pt-p.html?___store=serbian"," Pogledajte proizvod na sajtu -&gt;")</f>
        <v> Pogledajte proizvod na sajtu -&gt;</v>
      </c>
    </row>
    <row r="11" spans="1:6" ht="12.75">
      <c r="A11" s="2">
        <v>10</v>
      </c>
      <c r="B11" t="s">
        <v>1948</v>
      </c>
      <c r="C11" t="s">
        <v>1949</v>
      </c>
      <c r="D11" s="2">
        <v>9</v>
      </c>
      <c r="E11" s="2">
        <v>80</v>
      </c>
      <c r="F11" s="3" t="str">
        <f>HYPERLINK("http://www.sah.co.rs/ma-8x8yr.html?___store=serbian"," Pogledajte proizvod na sajtu -&gt;")</f>
        <v> Pogledajte proizvod na sajtu -&gt;</v>
      </c>
    </row>
    <row r="12" spans="1:6" ht="12.75">
      <c r="A12" s="2">
        <v>11</v>
      </c>
      <c r="B12" t="s">
        <v>1950</v>
      </c>
      <c r="C12" t="s">
        <v>1951</v>
      </c>
      <c r="D12" s="2">
        <v>7</v>
      </c>
      <c r="E12" s="2">
        <v>160</v>
      </c>
      <c r="F12" s="3" t="str">
        <f>HYPERLINK("http://www.sah.co.rs/ma-8ad-v.html?___store=serbian"," Pogledajte proizvod na sajtu -&gt;")</f>
        <v> Pogledajte proizvod na sajtu -&gt;</v>
      </c>
    </row>
    <row r="13" spans="1:6" ht="12.75">
      <c r="A13" s="2">
        <v>12</v>
      </c>
      <c r="B13" t="s">
        <v>1952</v>
      </c>
      <c r="C13" t="s">
        <v>1953</v>
      </c>
      <c r="D13" s="2">
        <v>5</v>
      </c>
      <c r="E13" s="2">
        <v>230</v>
      </c>
      <c r="F13" s="3" t="str">
        <f>HYPERLINK("http://www.sah.co.rs/xp3-18prt-c.html?___store=serbian"," Pogledajte proizvod na sajtu -&gt;")</f>
        <v> Pogledajte proizvod na sajtu -&gt;</v>
      </c>
    </row>
    <row r="14" spans="1:6" ht="12.75">
      <c r="A14" s="2">
        <v>13</v>
      </c>
      <c r="B14" t="s">
        <v>1954</v>
      </c>
      <c r="C14" t="s">
        <v>1955</v>
      </c>
      <c r="D14" s="2">
        <v>1</v>
      </c>
      <c r="E14" s="2">
        <v>230</v>
      </c>
      <c r="F14" s="3" t="str">
        <f>HYPERLINK("http://www.sah.co.rs/xp3-18pt-c.html?___store=serbian"," Pogledajte proizvod na sajtu -&gt;")</f>
        <v> Pogledajte proizvod na sajtu -&gt;</v>
      </c>
    </row>
    <row r="15" spans="1:6" ht="12.75">
      <c r="A15" s="2">
        <v>14</v>
      </c>
      <c r="B15" t="s">
        <v>1956</v>
      </c>
      <c r="C15" t="s">
        <v>1957</v>
      </c>
      <c r="D15" s="2">
        <v>2</v>
      </c>
      <c r="E15" s="2">
        <v>580</v>
      </c>
      <c r="F15" s="3" t="str">
        <f>HYPERLINK("http://www.sah.co.rs/xmp2-32pr-e.html?___store=serbian"," Pogledajte proizvod na sajtu -&gt;")</f>
        <v> Pogledajte proizvod na sajtu -&gt;</v>
      </c>
    </row>
    <row r="16" spans="1:6" ht="12.75">
      <c r="A16" s="2">
        <v>15</v>
      </c>
      <c r="B16" t="s">
        <v>1958</v>
      </c>
      <c r="C16" t="s">
        <v>1959</v>
      </c>
      <c r="D16" s="2">
        <v>2</v>
      </c>
      <c r="E16" s="2">
        <v>580</v>
      </c>
      <c r="F16" s="3" t="str">
        <f>HYPERLINK("http://www.sah.co.rs/xmp2-32pr-c.html?___store=serbian"," Pogledajte proizvod na sajtu -&gt;")</f>
        <v> Pogledajte proizvod na sajtu -&gt;</v>
      </c>
    </row>
    <row r="17" spans="1:6" ht="12.75">
      <c r="A17" s="2">
        <v>16</v>
      </c>
      <c r="B17" t="s">
        <v>1960</v>
      </c>
      <c r="C17" t="s">
        <v>1961</v>
      </c>
      <c r="D17" s="2">
        <v>3</v>
      </c>
      <c r="E17" s="2">
        <v>580</v>
      </c>
      <c r="F17" s="3" t="str">
        <f>HYPERLINK("http://www.sah.co.rs/xmp2-32pt-e.html?___store=serbian"," Pogledajte proizvod na sajtu -&gt;")</f>
        <v> Pogledajte proizvod na sajtu -&gt;</v>
      </c>
    </row>
    <row r="18" spans="1:6" ht="12.75">
      <c r="A18" s="2">
        <v>17</v>
      </c>
      <c r="B18" t="s">
        <v>1962</v>
      </c>
      <c r="C18" t="s">
        <v>1963</v>
      </c>
      <c r="D18" s="2">
        <v>8</v>
      </c>
      <c r="E18" s="2">
        <v>480</v>
      </c>
      <c r="F18" s="3" t="str">
        <f>HYPERLINK("http://www.sah.co.rs/xmh-30prt-c.html?___store=serbian"," Pogledajte proizvod na sajtu -&gt;")</f>
        <v> Pogledajte proizvod na sajtu -&gt;</v>
      </c>
    </row>
    <row r="19" spans="1:6" ht="12.75">
      <c r="A19" s="2">
        <v>18</v>
      </c>
      <c r="B19" t="s">
        <v>1964</v>
      </c>
      <c r="C19" t="s">
        <v>1965</v>
      </c>
      <c r="D19" s="2">
        <v>21</v>
      </c>
      <c r="E19" s="2">
        <v>230</v>
      </c>
      <c r="F19" s="3" t="str">
        <f>HYPERLINK("http://www.sah.co.rs/xp3-16prt-e.html?___store=serbian"," Pogledajte proizvod na sajtu -&gt;")</f>
        <v> Pogledajte proizvod na sajtu -&gt;</v>
      </c>
    </row>
    <row r="20" spans="1:6" ht="12.75">
      <c r="A20" s="2">
        <v>19</v>
      </c>
      <c r="B20" t="s">
        <v>1966</v>
      </c>
      <c r="C20" t="s">
        <v>1967</v>
      </c>
      <c r="D20" s="2">
        <v>16</v>
      </c>
      <c r="E20" s="2">
        <v>230</v>
      </c>
      <c r="F20" s="3" t="str">
        <f>HYPERLINK("http://www.sah.co.rs/xp3-16pr-e.html?___store=serbian"," Pogledajte proizvod na sajtu -&gt;")</f>
        <v> Pogledajte proizvod na sajtu -&gt;</v>
      </c>
    </row>
    <row r="21" spans="1:6" ht="12.75">
      <c r="A21" s="2">
        <v>20</v>
      </c>
      <c r="B21" t="s">
        <v>1968</v>
      </c>
      <c r="C21" t="s">
        <v>1969</v>
      </c>
      <c r="D21" s="2">
        <v>9</v>
      </c>
      <c r="E21" s="2">
        <v>90</v>
      </c>
      <c r="F21" s="3" t="str">
        <f>HYPERLINK("http://www.sah.co.rs/xc-bd-2ad2da.html?___store=serbian"," Pogledajte proizvod na sajtu -&gt;")</f>
        <v> Pogledajte proizvod na sajtu -&gt;</v>
      </c>
    </row>
    <row r="22" spans="1:6" ht="12.75">
      <c r="A22" s="2">
        <v>21</v>
      </c>
      <c r="B22" t="s">
        <v>1970</v>
      </c>
      <c r="C22" t="s">
        <v>1971</v>
      </c>
      <c r="D22" s="2">
        <v>18</v>
      </c>
      <c r="E22" s="2">
        <v>90</v>
      </c>
      <c r="F22" s="3" t="str">
        <f>HYPERLINK("http://www.sah.co.rs/xc-bd-2ad2pt.html?___store=serbian"," Pogledajte proizvod na sajtu -&gt;")</f>
        <v> Pogledajte proizvod na sajtu -&gt;</v>
      </c>
    </row>
    <row r="23" spans="1:6" ht="12.75">
      <c r="A23" s="2">
        <v>22</v>
      </c>
      <c r="B23" t="s">
        <v>1972</v>
      </c>
      <c r="C23" t="s">
        <v>1973</v>
      </c>
      <c r="D23" s="2">
        <v>4</v>
      </c>
      <c r="E23" s="2">
        <v>120</v>
      </c>
      <c r="F23" s="3" t="str">
        <f>HYPERLINK("http://www.sah.co.rs/xc-bd-sd.html?___store=serbian"," Pogledajte proizvod na sajtu -&gt;")</f>
        <v> Pogledajte proizvod na sajtu -&gt;</v>
      </c>
    </row>
    <row r="24" spans="1:6" ht="12.75">
      <c r="A24" s="2">
        <v>23</v>
      </c>
      <c r="B24" t="s">
        <v>1974</v>
      </c>
      <c r="C24" t="s">
        <v>1975</v>
      </c>
      <c r="D24" s="2">
        <v>0</v>
      </c>
      <c r="E24" s="2">
        <v>120</v>
      </c>
      <c r="F24" s="3" t="str">
        <f>HYPERLINK("http://www.sah.co.rs/xc-tbox-bd.html?___store=serbian"," Pogledajte proizvod na sajtu -&gt;")</f>
        <v> Pogledajte proizvod na sajtu -&gt;</v>
      </c>
    </row>
    <row r="25" spans="1:6" ht="12.75">
      <c r="A25" s="2">
        <v>24</v>
      </c>
      <c r="B25" t="s">
        <v>1976</v>
      </c>
      <c r="C25" t="s">
        <v>1977</v>
      </c>
      <c r="D25" s="2">
        <v>0</v>
      </c>
      <c r="E25" s="2">
        <v>80</v>
      </c>
      <c r="F25" s="3" t="str">
        <f>HYPERLINK("http://www.sah.co.rs/xc-bd-com.html?___store=serbian"," Pogledajte proizvod na sajtu -&gt;")</f>
        <v> Pogledajte proizvod na sajtu -&gt;</v>
      </c>
    </row>
    <row r="26" spans="1:6" ht="12.75">
      <c r="A26" s="2">
        <v>25</v>
      </c>
      <c r="B26" t="s">
        <v>1978</v>
      </c>
      <c r="C26" t="s">
        <v>1979</v>
      </c>
      <c r="D26" s="2">
        <v>8</v>
      </c>
      <c r="E26" s="2">
        <v>120</v>
      </c>
      <c r="F26" s="3" t="str">
        <f>HYPERLINK("http://www.sah.co.rs/xc1-24pr-e.html?___store=serbian"," Pogledajte proizvod na sajtu -&gt;")</f>
        <v> Pogledajte proizvod na sajtu -&gt;</v>
      </c>
    </row>
    <row r="27" spans="1:6" ht="12.75">
      <c r="A27" s="2">
        <v>26</v>
      </c>
      <c r="B27" t="s">
        <v>1980</v>
      </c>
      <c r="C27" t="s">
        <v>1981</v>
      </c>
      <c r="D27" s="2">
        <v>11</v>
      </c>
      <c r="E27" s="2">
        <v>120</v>
      </c>
      <c r="F27" s="3" t="str">
        <f>HYPERLINK("http://www.sah.co.rs/xc1-24pt-e.html?___store=serbian"," Pogledajte proizvod na sajtu -&gt;")</f>
        <v> Pogledajte proizvod na sajtu -&gt;</v>
      </c>
    </row>
    <row r="28" spans="1:6" ht="12.75">
      <c r="A28" s="2">
        <v>27</v>
      </c>
      <c r="B28" t="s">
        <v>1982</v>
      </c>
      <c r="C28" t="s">
        <v>1983</v>
      </c>
      <c r="D28" s="2">
        <v>8</v>
      </c>
      <c r="E28" s="2">
        <v>160</v>
      </c>
      <c r="F28" s="3" t="str">
        <f>HYPERLINK("http://www.sah.co.rs/xc3-24pr-c.html?___store=serbian"," Pogledajte proizvod na sajtu -&gt;")</f>
        <v> Pogledajte proizvod na sajtu -&gt;</v>
      </c>
    </row>
    <row r="29" spans="1:6" ht="12.75">
      <c r="A29" s="2">
        <v>28</v>
      </c>
      <c r="B29" t="s">
        <v>1984</v>
      </c>
      <c r="C29" t="s">
        <v>1985</v>
      </c>
      <c r="D29" s="2">
        <v>2</v>
      </c>
      <c r="E29" s="2">
        <v>160</v>
      </c>
      <c r="F29" s="3" t="str">
        <f>HYPERLINK("http://www.sah.co.rs/xc3-24pt-e.html?___store=serbian"," Pogledajte proizvod na sajtu -&gt;")</f>
        <v> Pogledajte proizvod na sajtu -&gt;</v>
      </c>
    </row>
    <row r="30" spans="1:6" ht="12.75">
      <c r="A30" s="2">
        <v>29</v>
      </c>
      <c r="B30" t="s">
        <v>1986</v>
      </c>
      <c r="C30" t="s">
        <v>1987</v>
      </c>
      <c r="D30" s="2">
        <v>7</v>
      </c>
      <c r="E30" s="2">
        <v>160</v>
      </c>
      <c r="F30" s="3" t="str">
        <f>HYPERLINK("http://www.sah.co.rs/xc3-24pt-c.html?___store=serbian"," Pogledajte proizvod na sajtu -&gt;")</f>
        <v> Pogledajte proizvod na sajtu -&gt;</v>
      </c>
    </row>
    <row r="31" spans="1:6" ht="12.75">
      <c r="A31" s="2">
        <v>30</v>
      </c>
      <c r="B31" t="s">
        <v>1988</v>
      </c>
      <c r="C31" t="s">
        <v>1989</v>
      </c>
      <c r="D31" s="2">
        <v>4</v>
      </c>
      <c r="E31" s="2">
        <v>160</v>
      </c>
      <c r="F31" s="3" t="str">
        <f>HYPERLINK("http://www.sah.co.rs/xc3-24prt-c.html?___store=serbian"," Pogledajte proizvod na sajtu -&gt;")</f>
        <v> Pogledajte proizvod na sajtu -&gt;</v>
      </c>
    </row>
    <row r="32" spans="1:6" ht="12.75">
      <c r="A32" s="2">
        <v>31</v>
      </c>
      <c r="B32" t="s">
        <v>1990</v>
      </c>
      <c r="C32" t="s">
        <v>1991</v>
      </c>
      <c r="D32" s="2">
        <v>2</v>
      </c>
      <c r="E32" s="2">
        <v>160</v>
      </c>
      <c r="F32" s="3" t="str">
        <f>HYPERLINK("http://www.sah.co.rs/xc3-24prt-e.html?___store=serbian"," Pogledajte proizvod na sajtu -&gt;")</f>
        <v> Pogledajte proizvod na sajtu -&gt;</v>
      </c>
    </row>
    <row r="33" spans="1:6" ht="12.75">
      <c r="A33" s="2">
        <v>32</v>
      </c>
      <c r="B33" t="s">
        <v>1992</v>
      </c>
      <c r="C33" t="s">
        <v>1993</v>
      </c>
      <c r="D33" s="2">
        <v>12</v>
      </c>
      <c r="E33" s="2">
        <v>150</v>
      </c>
      <c r="F33" s="3" t="str">
        <f>HYPERLINK("http://www.sah.co.rs/xc1-32pr-e.html?___store=serbian"," Pogledajte proizvod na sajtu -&gt;")</f>
        <v> Pogledajte proizvod na sajtu -&gt;</v>
      </c>
    </row>
    <row r="34" spans="1:6" ht="12.75">
      <c r="A34" s="2">
        <v>33</v>
      </c>
      <c r="B34" t="s">
        <v>1994</v>
      </c>
      <c r="C34" t="s">
        <v>1995</v>
      </c>
      <c r="D34" s="2">
        <v>6</v>
      </c>
      <c r="E34" s="2">
        <v>180</v>
      </c>
      <c r="F34" s="3" t="str">
        <f>HYPERLINK("http://www.sah.co.rs/xc3-32pt-e.html?___store=serbian"," Pogledajte proizvod na sajtu -&gt;")</f>
        <v> Pogledajte proizvod na sajtu -&gt;</v>
      </c>
    </row>
    <row r="35" spans="1:6" ht="12.75">
      <c r="A35" s="2">
        <v>34</v>
      </c>
      <c r="B35" t="s">
        <v>1996</v>
      </c>
      <c r="C35" t="s">
        <v>1997</v>
      </c>
      <c r="D35" s="2">
        <v>2</v>
      </c>
      <c r="E35" s="2">
        <v>180</v>
      </c>
      <c r="F35" s="3" t="str">
        <f>HYPERLINK("http://www.sah.co.rs/xc3-32prt-e.html?___store=serbian"," Pogledajte proizvod na sajtu -&gt;")</f>
        <v> Pogledajte proizvod na sajtu -&gt;</v>
      </c>
    </row>
    <row r="36" spans="1:6" ht="12.75">
      <c r="A36" s="2">
        <v>35</v>
      </c>
      <c r="B36" t="s">
        <v>1998</v>
      </c>
      <c r="C36" t="s">
        <v>1999</v>
      </c>
      <c r="D36" s="2">
        <v>4</v>
      </c>
      <c r="E36" s="2">
        <v>180</v>
      </c>
      <c r="F36" s="3" t="str">
        <f>HYPERLINK("http://www.sah.co.rs/xc3-32prt-c.html?___store=serbian"," Pogledajte proizvod na sajtu -&gt;")</f>
        <v> Pogledajte proizvod na sajtu -&gt;</v>
      </c>
    </row>
    <row r="37" spans="1:6" ht="12.75">
      <c r="A37" s="2">
        <v>36</v>
      </c>
      <c r="B37" t="s">
        <v>2000</v>
      </c>
      <c r="C37" t="s">
        <v>2001</v>
      </c>
      <c r="D37" s="2">
        <v>9</v>
      </c>
      <c r="E37" s="2">
        <v>220</v>
      </c>
      <c r="F37" s="3" t="str">
        <f>HYPERLINK("http://www.sah.co.rs/xc3-48rt-e.html?___store=serbian"," Pogledajte proizvod na sajtu -&gt;")</f>
        <v> Pogledajte proizvod na sajtu -&gt;</v>
      </c>
    </row>
    <row r="38" spans="1:6" ht="12.75">
      <c r="A38" s="2">
        <v>37</v>
      </c>
      <c r="B38" t="s">
        <v>2002</v>
      </c>
      <c r="C38" t="s">
        <v>2003</v>
      </c>
      <c r="D38" s="2">
        <v>22</v>
      </c>
      <c r="E38" s="2">
        <v>220</v>
      </c>
      <c r="F38" s="3" t="str">
        <f>HYPERLINK("http://www.sah.co.rs/xc3-48prt-e.html?___store=serbian"," Pogledajte proizvod na sajtu -&gt;")</f>
        <v> Pogledajte proizvod na sajtu -&gt;</v>
      </c>
    </row>
    <row r="39" spans="1:6" ht="12.75">
      <c r="A39" s="2">
        <v>38</v>
      </c>
      <c r="B39" t="s">
        <v>2004</v>
      </c>
      <c r="C39" t="s">
        <v>2005</v>
      </c>
      <c r="D39" s="2">
        <v>7</v>
      </c>
      <c r="E39" s="2">
        <v>220</v>
      </c>
      <c r="F39" s="3" t="str">
        <f>HYPERLINK("http://www.sah.co.rs/xc3-48pt-e.html?___store=serbian"," Pogledajte proizvod na sajtu -&gt;")</f>
        <v> Pogledajte proizvod na sajtu -&gt;</v>
      </c>
    </row>
    <row r="40" spans="1:6" ht="12.75">
      <c r="A40" s="2">
        <v>39</v>
      </c>
      <c r="B40" t="s">
        <v>2006</v>
      </c>
      <c r="C40" t="s">
        <v>2007</v>
      </c>
      <c r="D40" s="2">
        <v>16</v>
      </c>
      <c r="E40" s="2">
        <v>260</v>
      </c>
      <c r="F40" s="3" t="str">
        <f>HYPERLINK("http://www.sah.co.rs/xc3-60prt-e.html?___store=serbian"," Pogledajte proizvod na sajtu -&gt;")</f>
        <v> Pogledajte proizvod na sajtu -&gt;</v>
      </c>
    </row>
    <row r="41" spans="1:6" ht="12.75">
      <c r="A41" s="2">
        <v>40</v>
      </c>
      <c r="B41" t="s">
        <v>2008</v>
      </c>
      <c r="C41" t="s">
        <v>2009</v>
      </c>
      <c r="D41" s="2">
        <v>6</v>
      </c>
      <c r="E41" s="2">
        <v>260</v>
      </c>
      <c r="F41" s="3" t="str">
        <f>HYPERLINK("http://www.sah.co.rs/xc3-60pt-e.html?___store=serbian"," Pogledajte proizvod na sajtu -&gt;")</f>
        <v> Pogledajte proizvod na sajtu -&gt;</v>
      </c>
    </row>
    <row r="42" spans="1:6" ht="12.75">
      <c r="A42" s="2">
        <v>41</v>
      </c>
      <c r="B42" t="s">
        <v>2010</v>
      </c>
      <c r="C42" t="s">
        <v>2011</v>
      </c>
      <c r="D42" s="2">
        <v>9</v>
      </c>
      <c r="E42" s="2">
        <v>120</v>
      </c>
      <c r="F42" s="3" t="str">
        <f>HYPERLINK("http://www.sah.co.rs/xc3-14prt-e.html?___store=serbian"," Pogledajte proizvod na sajtu -&gt;")</f>
        <v> Pogledajte proizvod na sajtu -&gt;</v>
      </c>
    </row>
    <row r="43" spans="1:6" ht="12.75">
      <c r="A43" s="2">
        <v>42</v>
      </c>
      <c r="B43" t="s">
        <v>2012</v>
      </c>
      <c r="C43" t="s">
        <v>2013</v>
      </c>
      <c r="D43" s="2">
        <v>7</v>
      </c>
      <c r="E43" s="2">
        <v>120</v>
      </c>
      <c r="F43" s="3" t="str">
        <f>HYPERLINK("http://www.sah.co.rs/xc3-14pr-e.html?___store=serbian"," Pogledajte proizvod na sajtu -&gt;")</f>
        <v> Pogledajte proizvod na sajtu -&gt;</v>
      </c>
    </row>
    <row r="44" spans="1:6" ht="12.75">
      <c r="A44" s="2">
        <v>43</v>
      </c>
      <c r="B44" t="s">
        <v>2014</v>
      </c>
      <c r="C44" t="s">
        <v>2015</v>
      </c>
      <c r="D44" s="2">
        <v>8</v>
      </c>
      <c r="E44" s="2">
        <v>120</v>
      </c>
      <c r="F44" s="3" t="str">
        <f>HYPERLINK("http://www.sah.co.rs/xc3-14pt-c.html?___store=serbian"," Pogledajte proizvod na sajtu -&gt;")</f>
        <v> Pogledajte proizvod na sajtu -&gt;</v>
      </c>
    </row>
    <row r="45" spans="1:6" ht="12.75">
      <c r="A45" s="2">
        <v>44</v>
      </c>
      <c r="B45" t="s">
        <v>2016</v>
      </c>
      <c r="C45" t="s">
        <v>2017</v>
      </c>
      <c r="D45" s="2">
        <v>9</v>
      </c>
      <c r="E45" s="2">
        <v>120</v>
      </c>
      <c r="F45" s="3" t="str">
        <f>HYPERLINK("http://www.sah.co.rs/xc3-14pt-e.html?___store=serbian"," Pogledajte proizvod na sajtu -&gt;")</f>
        <v> Pogledajte proizvod na sajtu -&gt;</v>
      </c>
    </row>
    <row r="46" spans="1:6" ht="12.75">
      <c r="A46" s="2">
        <v>45</v>
      </c>
      <c r="B46" t="s">
        <v>2018</v>
      </c>
      <c r="C46" t="s">
        <v>2019</v>
      </c>
      <c r="D46" s="2">
        <v>6</v>
      </c>
      <c r="E46" s="2">
        <v>90</v>
      </c>
      <c r="F46" s="3" t="str">
        <f>HYPERLINK("http://www.sah.co.rs/xc1-16pr-e.html?___store=serbian"," Pogledajte proizvod na sajtu -&gt;")</f>
        <v> Pogledajte proizvod na sajtu -&gt;</v>
      </c>
    </row>
    <row r="47" spans="1:6" ht="12.75">
      <c r="A47" s="2">
        <v>46</v>
      </c>
      <c r="B47" t="s">
        <v>2020</v>
      </c>
      <c r="C47" t="s">
        <v>2021</v>
      </c>
      <c r="D47" s="2">
        <v>7</v>
      </c>
      <c r="E47" s="2">
        <v>90</v>
      </c>
      <c r="F47" s="3" t="str">
        <f>HYPERLINK("http://www.sah.co.rs/xc1-16pt-e.html?___store=serbian"," Pogledajte proizvod na sajtu -&gt;")</f>
        <v> Pogledajte proizvod na sajtu -&gt;</v>
      </c>
    </row>
    <row r="48" spans="1:6" ht="12.75">
      <c r="A48" s="2">
        <v>47</v>
      </c>
      <c r="B48" t="s">
        <v>2022</v>
      </c>
      <c r="C48" t="s">
        <v>2023</v>
      </c>
      <c r="D48" s="2">
        <v>8</v>
      </c>
      <c r="E48" s="2">
        <v>240</v>
      </c>
      <c r="F48" s="3" t="str">
        <f>HYPERLINK("http://www.sah.co.rs/xc3-19ar-e.html?___store=serbian"," Pogledajte proizvod na sajtu -&gt;")</f>
        <v> Pogledajte proizvod na sajtu -&gt;</v>
      </c>
    </row>
    <row r="49" spans="1:6" ht="12.75">
      <c r="A49" s="2">
        <v>48</v>
      </c>
      <c r="B49" t="s">
        <v>2024</v>
      </c>
      <c r="C49" t="s">
        <v>2025</v>
      </c>
      <c r="D49" s="2">
        <v>4</v>
      </c>
      <c r="E49" s="2">
        <v>70</v>
      </c>
      <c r="F49" s="3" t="str">
        <f>HYPERLINK("http://www.sah.co.rs/sr-12mrdc.html?___store=serbian"," Pogledajte proizvod na sajtu -&gt;")</f>
        <v> Pogledajte proizvod na sajtu -&gt;</v>
      </c>
    </row>
    <row r="50" spans="1:6" ht="12.75">
      <c r="A50" s="2">
        <v>49</v>
      </c>
      <c r="B50" t="s">
        <v>2026</v>
      </c>
      <c r="C50" t="s">
        <v>2027</v>
      </c>
      <c r="D50" s="2">
        <v>5</v>
      </c>
      <c r="E50" s="2">
        <v>70</v>
      </c>
      <c r="F50" s="3" t="str">
        <f>HYPERLINK("http://www.sah.co.rs/sr-12mtdc.html?___store=serbian"," Pogledajte proizvod na sajtu -&gt;")</f>
        <v> Pogledajte proizvod na sajtu -&gt;</v>
      </c>
    </row>
    <row r="51" spans="1:6" ht="12.75">
      <c r="A51" s="2">
        <v>50</v>
      </c>
      <c r="B51" t="s">
        <v>2028</v>
      </c>
      <c r="C51" t="s">
        <v>2029</v>
      </c>
      <c r="D51" s="2">
        <v>4</v>
      </c>
      <c r="E51" s="2">
        <v>70</v>
      </c>
      <c r="F51" s="3" t="str">
        <f>HYPERLINK("http://www.sah.co.rs/sr-20erd.html?___store=serbian"," Pogledajte proizvod na sajtu -&gt;")</f>
        <v> Pogledajte proizvod na sajtu -&gt;</v>
      </c>
    </row>
    <row r="52" spans="1:6" ht="12.75">
      <c r="A52" s="2">
        <v>51</v>
      </c>
      <c r="B52" t="s">
        <v>2030</v>
      </c>
      <c r="C52" t="s">
        <v>2031</v>
      </c>
      <c r="D52" s="2">
        <v>7</v>
      </c>
      <c r="E52" s="2">
        <v>70</v>
      </c>
      <c r="F52" s="3" t="str">
        <f>HYPERLINK("http://www.sah.co.rs/sr-20etd.html?___store=serbian"," Pogledajte proizvod na sajtu -&gt;")</f>
        <v> Pogledajte proizvod na sajtu -&gt;</v>
      </c>
    </row>
    <row r="53" spans="1:6" ht="12.75">
      <c r="A53" s="2">
        <v>52</v>
      </c>
      <c r="B53" t="s">
        <v>2032</v>
      </c>
      <c r="C53" t="s">
        <v>2033</v>
      </c>
      <c r="D53" s="2">
        <v>5</v>
      </c>
      <c r="E53" s="2">
        <v>110</v>
      </c>
      <c r="F53" s="3" t="str">
        <f>HYPERLINK("http://www.sah.co.rs/sr-22mtdc.html?___store=serbian"," Pogledajte proizvod na sajtu -&gt;")</f>
        <v> Pogledajte proizvod na sajtu -&gt;</v>
      </c>
    </row>
    <row r="54" spans="1:6" ht="12.75">
      <c r="A54" s="2">
        <v>53</v>
      </c>
      <c r="B54" t="s">
        <v>2034</v>
      </c>
      <c r="C54" t="s">
        <v>2035</v>
      </c>
      <c r="D54" s="2">
        <v>6</v>
      </c>
      <c r="E54" s="2">
        <v>80</v>
      </c>
      <c r="F54" s="3" t="str">
        <f>HYPERLINK("http://www.sah.co.rs/xc-e16px.html?___store=serbian"," Pogledajte proizvod na sajtu -&gt;")</f>
        <v> Pogledajte proizvod na sajtu -&gt;</v>
      </c>
    </row>
    <row r="55" spans="1:6" ht="12.75">
      <c r="A55" s="2">
        <v>54</v>
      </c>
      <c r="B55" t="s">
        <v>2036</v>
      </c>
      <c r="C55" t="s">
        <v>2037</v>
      </c>
      <c r="D55" s="2">
        <v>4</v>
      </c>
      <c r="E55" s="2">
        <v>90</v>
      </c>
      <c r="F55" s="3" t="str">
        <f>HYPERLINK("http://www.sah.co.rs/xc-e16yr.html?___store=serbian"," Pogledajte proizvod na sajtu -&gt;")</f>
        <v> Pogledajte proizvod na sajtu -&gt;</v>
      </c>
    </row>
    <row r="56" spans="1:6" ht="12.75">
      <c r="A56" s="2">
        <v>55</v>
      </c>
      <c r="B56" t="s">
        <v>2038</v>
      </c>
      <c r="C56" t="s">
        <v>2039</v>
      </c>
      <c r="D56" s="2">
        <v>12</v>
      </c>
      <c r="E56" s="2">
        <v>90</v>
      </c>
      <c r="F56" s="3" t="str">
        <f>HYPERLINK("http://www.sah.co.rs/xc-e16yt.html?___store=serbian"," Pogledajte proizvod na sajtu -&gt;")</f>
        <v> Pogledajte proizvod na sajtu -&gt;</v>
      </c>
    </row>
    <row r="57" spans="1:6" ht="12.75">
      <c r="A57" s="2">
        <v>56</v>
      </c>
      <c r="B57" t="s">
        <v>2040</v>
      </c>
      <c r="C57" t="s">
        <v>2041</v>
      </c>
      <c r="D57" s="2">
        <v>10</v>
      </c>
      <c r="E57" s="2">
        <v>210</v>
      </c>
      <c r="F57" s="3" t="str">
        <f>HYPERLINK("http://www.sah.co.rs/xc-e4ad2da.html?___store=serbian"," Pogledajte proizvod na sajtu -&gt;")</f>
        <v> Pogledajte proizvod na sajtu -&gt;</v>
      </c>
    </row>
    <row r="58" spans="1:6" ht="12.75">
      <c r="A58" s="2">
        <v>57</v>
      </c>
      <c r="B58" t="s">
        <v>2042</v>
      </c>
      <c r="C58" t="s">
        <v>2043</v>
      </c>
      <c r="D58" s="2">
        <v>7</v>
      </c>
      <c r="E58" s="2">
        <v>230</v>
      </c>
      <c r="F58" s="3" t="str">
        <f>HYPERLINK("http://www.sah.co.rs/xc-e3ad4pt2da.html?___store=serbian"," Pogledajte proizvod na sajtu -&gt;")</f>
        <v> Pogledajte proizvod na sajtu -&gt;</v>
      </c>
    </row>
    <row r="59" spans="1:6" ht="12.75">
      <c r="A59" s="2">
        <v>58</v>
      </c>
      <c r="B59" t="s">
        <v>2044</v>
      </c>
      <c r="C59" t="s">
        <v>2045</v>
      </c>
      <c r="D59" s="2">
        <v>8</v>
      </c>
      <c r="E59" s="2">
        <v>140</v>
      </c>
      <c r="F59" s="3" t="str">
        <f>HYPERLINK("http://www.sah.co.rs/xc-e32px.html?___store=serbian"," Pogledajte proizvod na sajtu -&gt;")</f>
        <v> Pogledajte proizvod na sajtu -&gt;</v>
      </c>
    </row>
    <row r="60" spans="1:6" ht="12.75">
      <c r="A60" s="2">
        <v>59</v>
      </c>
      <c r="B60" t="s">
        <v>2046</v>
      </c>
      <c r="C60" t="s">
        <v>2047</v>
      </c>
      <c r="D60" s="2">
        <v>6</v>
      </c>
      <c r="E60" s="2">
        <v>150</v>
      </c>
      <c r="F60" s="3" t="str">
        <f>HYPERLINK("http://www.sah.co.rs/xc-e32yr.html?___store=serbian"," Pogledajte proizvod na sajtu -&gt;")</f>
        <v> Pogledajte proizvod na sajtu -&gt;</v>
      </c>
    </row>
    <row r="61" spans="1:6" ht="12.75">
      <c r="A61" s="2">
        <v>60</v>
      </c>
      <c r="B61" t="s">
        <v>2048</v>
      </c>
      <c r="C61" t="s">
        <v>2049</v>
      </c>
      <c r="D61" s="2">
        <v>6</v>
      </c>
      <c r="E61" s="2">
        <v>150</v>
      </c>
      <c r="F61" s="3" t="str">
        <f>HYPERLINK("http://www.sah.co.rs/xc-e32yt.html?___store=serbian"," Pogledajte proizvod na sajtu -&gt;")</f>
        <v> Pogledajte proizvod na sajtu -&gt;</v>
      </c>
    </row>
    <row r="62" spans="1:6" ht="12.75">
      <c r="A62" s="2">
        <v>61</v>
      </c>
      <c r="B62" t="s">
        <v>2050</v>
      </c>
      <c r="C62" t="s">
        <v>2051</v>
      </c>
      <c r="D62" s="2">
        <v>4</v>
      </c>
      <c r="E62" s="2">
        <v>190</v>
      </c>
      <c r="F62" s="3" t="str">
        <f>HYPERLINK("http://www.sah.co.rs/xc-e8ad.html?___store=serbian"," Pogledajte proizvod na sajtu -&gt;")</f>
        <v> Pogledajte proizvod na sajtu -&gt;</v>
      </c>
    </row>
    <row r="63" spans="1:6" ht="12.75">
      <c r="A63" s="2">
        <v>62</v>
      </c>
      <c r="B63" t="s">
        <v>2052</v>
      </c>
      <c r="C63" t="s">
        <v>2053</v>
      </c>
      <c r="D63" s="2">
        <v>6</v>
      </c>
      <c r="E63" s="2">
        <v>160</v>
      </c>
      <c r="F63" s="3" t="str">
        <f>HYPERLINK("http://www.sah.co.rs/xc-e4da.html?___store=serbian"," Pogledajte proizvod na sajtu -&gt;")</f>
        <v> Pogledajte proizvod na sajtu -&gt;</v>
      </c>
    </row>
    <row r="64" spans="1:6" ht="12.75">
      <c r="A64" s="2">
        <v>63</v>
      </c>
      <c r="B64" t="s">
        <v>2054</v>
      </c>
      <c r="C64" t="s">
        <v>2055</v>
      </c>
      <c r="D64" s="2">
        <v>1</v>
      </c>
      <c r="E64" s="2">
        <v>210</v>
      </c>
      <c r="F64" s="3" t="str">
        <f>HYPERLINK("http://www.sah.co.rs/xc-e6tc-p.html?___store=serbian"," Pogledajte proizvod na sajtu -&gt;")</f>
        <v> Pogledajte proizvod na sajtu -&gt;</v>
      </c>
    </row>
    <row r="65" spans="1:6" ht="12.75">
      <c r="A65" s="2">
        <v>64</v>
      </c>
      <c r="B65" t="s">
        <v>2056</v>
      </c>
      <c r="C65" t="s">
        <v>2057</v>
      </c>
      <c r="D65" s="2">
        <v>8</v>
      </c>
      <c r="E65" s="2">
        <v>210</v>
      </c>
      <c r="F65" s="3" t="str">
        <f>HYPERLINK("http://www.sah.co.rs/xc-e6pt-p.html?___store=serbian"," Pogledajte proizvod na sajtu -&gt;")</f>
        <v> Pogledajte proizvod na sajtu -&gt;</v>
      </c>
    </row>
    <row r="66" spans="1:6" ht="12.75">
      <c r="A66" s="2">
        <v>65</v>
      </c>
      <c r="B66" t="s">
        <v>2058</v>
      </c>
      <c r="C66" t="s">
        <v>2059</v>
      </c>
      <c r="D66" s="2">
        <v>12</v>
      </c>
      <c r="E66" s="2">
        <v>60</v>
      </c>
      <c r="F66" s="3" t="str">
        <f>HYPERLINK("http://www.sah.co.rs/xc-e8px.html?___store=serbian"," Pogledajte proizvod na sajtu -&gt;")</f>
        <v> Pogledajte proizvod na sajtu -&gt;</v>
      </c>
    </row>
    <row r="67" spans="1:6" ht="12.75">
      <c r="A67" s="2">
        <v>66</v>
      </c>
      <c r="B67" t="s">
        <v>2060</v>
      </c>
      <c r="C67" t="s">
        <v>2061</v>
      </c>
      <c r="D67" s="2">
        <v>14</v>
      </c>
      <c r="E67" s="2">
        <v>80</v>
      </c>
      <c r="F67" s="3" t="str">
        <f>HYPERLINK("http://www.sah.co.rs/xc-e8px8yr.html?___store=serbian"," Pogledajte proizvod na sajtu -&gt;")</f>
        <v> Pogledajte proizvod na sajtu -&gt;</v>
      </c>
    </row>
    <row r="68" spans="1:6" ht="12.75">
      <c r="A68" s="2">
        <v>67</v>
      </c>
      <c r="B68" t="s">
        <v>2062</v>
      </c>
      <c r="C68" t="s">
        <v>2063</v>
      </c>
      <c r="D68" s="2">
        <v>10</v>
      </c>
      <c r="E68" s="2">
        <v>80</v>
      </c>
      <c r="F68" s="3" t="str">
        <f>HYPERLINK("http://www.sah.co.rs/xc-e8px8yt.html?___store=serbian"," Pogledajte proizvod na sajtu -&gt;")</f>
        <v> Pogledajte proizvod na sajtu -&gt;</v>
      </c>
    </row>
    <row r="69" spans="1:6" ht="12.75">
      <c r="A69" s="2">
        <v>68</v>
      </c>
      <c r="B69" t="s">
        <v>2064</v>
      </c>
      <c r="C69" t="s">
        <v>2065</v>
      </c>
      <c r="D69" s="2">
        <v>11</v>
      </c>
      <c r="E69" s="2">
        <v>65</v>
      </c>
      <c r="F69" s="3" t="str">
        <f>HYPERLINK("http://www.sah.co.rs/xc-e8yr.html?___store=serbian"," Pogledajte proizvod na sajtu -&gt;")</f>
        <v> Pogledajte proizvod na sajtu -&gt;</v>
      </c>
    </row>
    <row r="70" spans="1:6" ht="12.75">
      <c r="A70" s="2">
        <v>69</v>
      </c>
      <c r="B70" t="s">
        <v>2066</v>
      </c>
      <c r="C70" t="s">
        <v>2067</v>
      </c>
      <c r="D70" s="2">
        <v>7</v>
      </c>
      <c r="E70" s="2">
        <v>90</v>
      </c>
      <c r="F70" s="3" t="str">
        <f>HYPERLINK("http://www.sah.co.rs/xp-2ad2pt-bd.html?___store=serbian"," Pogledajte proizvod na sajtu -&gt;")</f>
        <v> Pogledajte proizvod na sajtu -&gt;</v>
      </c>
    </row>
    <row r="71" spans="1:6" ht="12.75">
      <c r="A71" s="2">
        <v>70</v>
      </c>
      <c r="B71" t="s">
        <v>2068</v>
      </c>
      <c r="C71" t="s">
        <v>2069</v>
      </c>
      <c r="D71" s="2">
        <v>10</v>
      </c>
      <c r="E71" s="2">
        <v>90</v>
      </c>
      <c r="F71" s="3" t="str">
        <f>HYPERLINK("http://www.sah.co.rs/xp-4ad-bd.html?___store=serbian"," Pogledajte proizvod na sajtu -&gt;")</f>
        <v> Pogledajte proizvod na sajtu -&gt;</v>
      </c>
    </row>
    <row r="72" spans="1:6" ht="12.75">
      <c r="A72" s="2">
        <v>71</v>
      </c>
      <c r="B72" t="s">
        <v>2070</v>
      </c>
      <c r="C72" t="s">
        <v>2071</v>
      </c>
      <c r="D72" s="2">
        <v>8</v>
      </c>
      <c r="E72" s="2">
        <v>100</v>
      </c>
      <c r="F72" s="3" t="str">
        <f>HYPERLINK("http://www.sah.co.rs/xp-3ad3pt-bd2.html?___store=serbian"," Pogledajte proizvod na sajtu -&gt;")</f>
        <v> Pogledajte proizvod na sajtu -&gt;</v>
      </c>
    </row>
    <row r="73" spans="1:6" ht="12.75">
      <c r="A73" s="2">
        <v>72</v>
      </c>
      <c r="B73" t="s">
        <v>2072</v>
      </c>
      <c r="C73" t="s">
        <v>2073</v>
      </c>
      <c r="D73" s="2">
        <v>7</v>
      </c>
      <c r="E73" s="2">
        <v>100</v>
      </c>
      <c r="F73" s="3" t="str">
        <f>HYPERLINK("http://www.sah.co.rs/xp-4ad2da-bd2.html?___store=serbian"," Pogledajte proizvod na sajtu -&gt;")</f>
        <v> Pogledajte proizvod na sajtu -&gt;</v>
      </c>
    </row>
    <row r="74" spans="1:6" ht="12.75">
      <c r="A74" s="2">
        <v>73</v>
      </c>
      <c r="B74" t="s">
        <v>2074</v>
      </c>
      <c r="C74" t="s">
        <v>2075</v>
      </c>
      <c r="D74" s="2">
        <v>11</v>
      </c>
      <c r="E74" s="2">
        <v>140</v>
      </c>
      <c r="F74" s="3" t="str">
        <f>HYPERLINK("http://www.sah.co.rs/apb-24mrdl.html?___store=serbian"," Pogledajte proizvod na sajtu -&gt;")</f>
        <v> Pogledajte proizvod na sajtu -&gt;</v>
      </c>
    </row>
    <row r="75" spans="1:6" ht="12.75">
      <c r="A75" s="2">
        <v>74</v>
      </c>
      <c r="B75" t="s">
        <v>2076</v>
      </c>
      <c r="C75" t="s">
        <v>2077</v>
      </c>
      <c r="D75" s="2">
        <v>17</v>
      </c>
      <c r="E75" s="2">
        <v>115</v>
      </c>
      <c r="F75" s="3" t="str">
        <f>HYPERLINK("http://www.sah.co.rs/apb-22mgd.html?___store=serbian"," Pogledajte proizvod na sajtu -&gt;")</f>
        <v> Pogledajte proizvod na sajtu -&gt;</v>
      </c>
    </row>
    <row r="76" spans="1:6" ht="12.75">
      <c r="A76" s="2">
        <v>75</v>
      </c>
      <c r="B76" t="s">
        <v>2078</v>
      </c>
      <c r="C76" t="s">
        <v>2079</v>
      </c>
      <c r="D76" s="2">
        <v>16</v>
      </c>
      <c r="E76" s="2">
        <v>130</v>
      </c>
      <c r="F76" s="3" t="str">
        <f>HYPERLINK("http://www.sah.co.rs/apb-22mgdl.html?___store=serbian"," Pogledajte proizvod na sajtu -&gt;")</f>
        <v> Pogledajte proizvod na sajtu -&gt;</v>
      </c>
    </row>
    <row r="77" spans="1:6" ht="12.75">
      <c r="A77" s="2">
        <v>76</v>
      </c>
      <c r="B77" t="s">
        <v>2080</v>
      </c>
      <c r="C77" t="s">
        <v>2081</v>
      </c>
      <c r="D77" s="2">
        <v>12</v>
      </c>
      <c r="E77" s="2">
        <v>115</v>
      </c>
      <c r="F77" s="3" t="str">
        <f>HYPERLINK("http://www.sah.co.rs/apb-22mrd.html?___store=serbian"," Pogledajte proizvod na sajtu -&gt;")</f>
        <v> Pogledajte proizvod na sajtu -&gt;</v>
      </c>
    </row>
    <row r="78" spans="1:6" ht="12.75">
      <c r="A78" s="2">
        <v>77</v>
      </c>
      <c r="B78" t="s">
        <v>2082</v>
      </c>
      <c r="C78" t="s">
        <v>2083</v>
      </c>
      <c r="D78" s="2">
        <v>35</v>
      </c>
      <c r="E78" s="2">
        <v>130</v>
      </c>
      <c r="F78" s="3" t="str">
        <f>HYPERLINK("http://www.sah.co.rs/apb-22mrdl.html?___store=serbian"," Pogledajte proizvod na sajtu -&gt;")</f>
        <v> Pogledajte proizvod na sajtu -&gt;</v>
      </c>
    </row>
    <row r="79" spans="1:6" ht="12.75">
      <c r="A79" s="2">
        <v>78</v>
      </c>
      <c r="B79" t="s">
        <v>2084</v>
      </c>
      <c r="C79" t="s">
        <v>2085</v>
      </c>
      <c r="D79" s="2">
        <v>23</v>
      </c>
      <c r="E79" s="2">
        <v>85</v>
      </c>
      <c r="F79" s="3" t="str">
        <f>HYPERLINK("http://www.sah.co.rs/apb-12mra.html?___store=serbian"," Pogledajte proizvod na sajtu -&gt;")</f>
        <v> Pogledajte proizvod na sajtu -&gt;</v>
      </c>
    </row>
    <row r="80" spans="1:6" ht="12.75">
      <c r="A80" s="2">
        <v>79</v>
      </c>
      <c r="B80" t="s">
        <v>2086</v>
      </c>
      <c r="C80" t="s">
        <v>2087</v>
      </c>
      <c r="D80" s="2">
        <v>13</v>
      </c>
      <c r="E80" s="2">
        <v>100</v>
      </c>
      <c r="F80" s="3" t="str">
        <f>HYPERLINK("http://www.sah.co.rs/apb-12mral.html?___store=serbian"," Pogledajte proizvod na sajtu -&gt;")</f>
        <v> Pogledajte proizvod na sajtu -&gt;</v>
      </c>
    </row>
    <row r="81" spans="1:6" ht="12.75">
      <c r="A81" s="2">
        <v>80</v>
      </c>
      <c r="B81" t="s">
        <v>2088</v>
      </c>
      <c r="C81" t="s">
        <v>2089</v>
      </c>
      <c r="D81" s="2">
        <v>12</v>
      </c>
      <c r="E81" s="2">
        <v>80</v>
      </c>
      <c r="F81" s="3" t="str">
        <f>HYPERLINK("http://www.sah.co.rs/apb-12mgd.html?___store=serbian"," Pogledajte proizvod na sajtu -&gt;")</f>
        <v> Pogledajte proizvod na sajtu -&gt;</v>
      </c>
    </row>
    <row r="82" spans="1:6" ht="12.75">
      <c r="A82" s="2">
        <v>81</v>
      </c>
      <c r="B82" t="s">
        <v>2090</v>
      </c>
      <c r="C82" t="s">
        <v>2091</v>
      </c>
      <c r="D82" s="2">
        <v>52</v>
      </c>
      <c r="E82" s="2">
        <v>95</v>
      </c>
      <c r="F82" s="3" t="str">
        <f>HYPERLINK("http://www.sah.co.rs/apb-12mgdl.html?___store=serbian"," Pogledajte proizvod na sajtu -&gt;")</f>
        <v> Pogledajte proizvod na sajtu -&gt;</v>
      </c>
    </row>
    <row r="83" spans="1:6" ht="12.75">
      <c r="A83" s="2">
        <v>82</v>
      </c>
      <c r="B83" t="s">
        <v>2092</v>
      </c>
      <c r="C83" t="s">
        <v>2093</v>
      </c>
      <c r="D83" s="2">
        <v>29</v>
      </c>
      <c r="E83" s="2">
        <v>80</v>
      </c>
      <c r="F83" s="3" t="str">
        <f>HYPERLINK("http://www.sah.co.rs/apb-12mrd.html?___store=serbian"," Pogledajte proizvod na sajtu -&gt;")</f>
        <v> Pogledajte proizvod na sajtu -&gt;</v>
      </c>
    </row>
    <row r="84" spans="1:6" ht="12.75">
      <c r="A84" s="2">
        <v>83</v>
      </c>
      <c r="B84" t="s">
        <v>2094</v>
      </c>
      <c r="C84" t="s">
        <v>2095</v>
      </c>
      <c r="D84" s="2">
        <v>31</v>
      </c>
      <c r="E84" s="2">
        <v>95</v>
      </c>
      <c r="F84" s="3" t="str">
        <f>HYPERLINK("http://www.sah.co.rs/apb-12mrdl.html?___store=serbian"," Pogledajte proizvod na sajtu -&gt;")</f>
        <v> Pogledajte proizvod na sajtu -&gt;</v>
      </c>
    </row>
    <row r="85" spans="1:6" ht="12.75">
      <c r="A85" s="2">
        <v>84</v>
      </c>
      <c r="B85" t="s">
        <v>2096</v>
      </c>
      <c r="C85" t="s">
        <v>2097</v>
      </c>
      <c r="D85" s="2">
        <v>34</v>
      </c>
      <c r="E85" s="2">
        <v>80</v>
      </c>
      <c r="F85" s="3" t="str">
        <f>HYPERLINK("http://www.sah.co.rs/apb-22egd.html?___store=serbian"," Pogledajte proizvod na sajtu -&gt;")</f>
        <v> Pogledajte proizvod na sajtu -&gt;</v>
      </c>
    </row>
    <row r="86" spans="1:6" ht="12.75">
      <c r="A86" s="2">
        <v>85</v>
      </c>
      <c r="B86" t="s">
        <v>2098</v>
      </c>
      <c r="C86" t="s">
        <v>2099</v>
      </c>
      <c r="D86" s="2">
        <v>14</v>
      </c>
      <c r="E86" s="2">
        <v>80</v>
      </c>
      <c r="F86" s="3" t="str">
        <f>HYPERLINK("http://www.sah.co.rs/apb-22era.html?___store=serbian"," Pogledajte proizvod na sajtu -&gt;")</f>
        <v> Pogledajte proizvod na sajtu -&gt;</v>
      </c>
    </row>
    <row r="87" spans="1:6" ht="12.75">
      <c r="A87" s="2">
        <v>86</v>
      </c>
      <c r="B87" t="s">
        <v>2100</v>
      </c>
      <c r="C87" t="s">
        <v>2101</v>
      </c>
      <c r="D87" s="2">
        <v>22</v>
      </c>
      <c r="E87" s="2">
        <v>80</v>
      </c>
      <c r="F87" s="3" t="str">
        <f>HYPERLINK("http://www.sah.co.rs/apb-22erd.html?___store=serbian"," Pogledajte proizvod na sajtu -&gt;")</f>
        <v> Pogledajte proizvod na sajtu -&gt;</v>
      </c>
    </row>
    <row r="88" spans="1:6" ht="12.75">
      <c r="A88" s="2">
        <v>87</v>
      </c>
      <c r="B88" t="s">
        <v>2102</v>
      </c>
      <c r="C88" t="s">
        <v>2103</v>
      </c>
      <c r="D88" s="2">
        <v>7</v>
      </c>
      <c r="E88" s="2">
        <v>56</v>
      </c>
      <c r="F88" s="3" t="str">
        <f>HYPERLINK("http://www.sah.co.rs/apb-exnet.html?___store=serbian"," Pogledajte proizvod na sajtu -&gt;")</f>
        <v> Pogledajte proizvod na sajtu -&gt;</v>
      </c>
    </row>
    <row r="89" spans="1:6" ht="12.75">
      <c r="A89" s="2">
        <v>88</v>
      </c>
      <c r="B89" t="s">
        <v>2104</v>
      </c>
      <c r="C89" t="s">
        <v>2105</v>
      </c>
      <c r="D89" s="2">
        <v>5</v>
      </c>
      <c r="E89" s="2">
        <v>36</v>
      </c>
      <c r="F89" s="3" t="str">
        <f>HYPERLINK("http://www.sah.co.rs/apb-expmc.html?___store=serbian"," Pogledajte proizvod na sajtu -&gt;")</f>
        <v> Pogledajte proizvod na sajtu -&gt;</v>
      </c>
    </row>
    <row r="90" spans="1:6" ht="12.75">
      <c r="A90" s="2">
        <v>89</v>
      </c>
      <c r="B90" t="s">
        <v>2106</v>
      </c>
      <c r="C90" t="s">
        <v>2107</v>
      </c>
      <c r="D90" s="2">
        <v>6</v>
      </c>
      <c r="E90" s="2">
        <v>135</v>
      </c>
      <c r="F90" s="3" t="str">
        <f>HYPERLINK("http://www.sah.co.rs/apb-sms.html?___store=serbian","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1.57421875" style="0" customWidth="1"/>
    <col min="3" max="3" width="89.003906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2108</v>
      </c>
      <c r="C2" t="s">
        <v>2109</v>
      </c>
      <c r="D2" s="2">
        <v>3</v>
      </c>
      <c r="E2" s="2">
        <v>18</v>
      </c>
      <c r="F2" s="3" t="str">
        <f>HYPERLINK("http://www.sah.co.rs/af-dusb.html?___store=serbian"," Pogledajte proizvod na sajtu -&gt;")</f>
        <v> Pogledajte proizvod na sajtu -&gt;</v>
      </c>
    </row>
    <row r="3" spans="1:6" ht="12.75">
      <c r="A3" s="2">
        <v>2</v>
      </c>
      <c r="B3" t="s">
        <v>2110</v>
      </c>
      <c r="C3" t="s">
        <v>2111</v>
      </c>
      <c r="D3" s="2">
        <v>15</v>
      </c>
      <c r="E3" s="2">
        <v>22</v>
      </c>
      <c r="F3" s="3" t="str">
        <f>HYPERLINK("http://www.sah.co.rs/sr-dusb.html?___store=serbian"," Pogledajte proizvod na sajtu -&gt;")</f>
        <v> Pogledajte proizvod na sajtu -&gt;</v>
      </c>
    </row>
    <row r="4" spans="1:6" ht="12.75">
      <c r="A4" s="2">
        <v>3</v>
      </c>
      <c r="B4" t="s">
        <v>2112</v>
      </c>
      <c r="C4" t="s">
        <v>2113</v>
      </c>
      <c r="D4" s="2">
        <v>4</v>
      </c>
      <c r="E4" s="2">
        <v>8</v>
      </c>
      <c r="F4" s="3" t="str">
        <f>HYPERLINK("http://www.sah.co.rs/sr-ecbd.html?___store=serbian"," Pogledajte proizvod na sajtu -&gt;")</f>
        <v> Pogledajte proizvod na sajtu -&gt;</v>
      </c>
    </row>
    <row r="5" spans="1:6" ht="12.75">
      <c r="A5" s="2">
        <v>4</v>
      </c>
      <c r="B5" t="s">
        <v>2114</v>
      </c>
      <c r="C5" t="s">
        <v>2115</v>
      </c>
      <c r="D5" s="2">
        <v>13</v>
      </c>
      <c r="E5" s="2">
        <v>15</v>
      </c>
      <c r="F5" s="3" t="str">
        <f>HYPERLINK("http://www.sah.co.rs/af-lcd.html?___store=serbian"," Pogledajte proizvod na sajtu -&gt;")</f>
        <v> Pogledajte proizvod na sajtu -&gt;</v>
      </c>
    </row>
    <row r="6" spans="1:6" ht="12.75">
      <c r="A6" s="2">
        <v>5</v>
      </c>
      <c r="B6" t="s">
        <v>2116</v>
      </c>
      <c r="C6" t="s">
        <v>2117</v>
      </c>
      <c r="D6" s="2">
        <v>9</v>
      </c>
      <c r="E6" s="2">
        <v>18</v>
      </c>
      <c r="F6" s="3" t="str">
        <f>HYPERLINK("http://www.sah.co.rs/sr-wrt.html?___store=serbian"," Pogledajte proizvod na sajtu -&gt;")</f>
        <v> Pogledajte proizvod na sajtu -&gt;</v>
      </c>
    </row>
    <row r="7" spans="1:6" ht="12.75">
      <c r="A7" s="2">
        <v>6</v>
      </c>
      <c r="B7" t="s">
        <v>2118</v>
      </c>
      <c r="C7" t="s">
        <v>2119</v>
      </c>
      <c r="D7" s="2">
        <v>10</v>
      </c>
      <c r="E7" s="2">
        <v>20</v>
      </c>
      <c r="F7" s="3" t="str">
        <f>HYPERLINK("http://www.sah.co.rs/sr-hmi.html?___store=serbian"," Pogledajte proizvod na sajtu -&gt;")</f>
        <v> Pogledajte proizvod na sajtu -&gt;</v>
      </c>
    </row>
    <row r="8" spans="1:6" ht="12.75">
      <c r="A8" s="2">
        <v>7</v>
      </c>
      <c r="B8" t="s">
        <v>2120</v>
      </c>
      <c r="C8" t="s">
        <v>2121</v>
      </c>
      <c r="D8" s="2">
        <v>24</v>
      </c>
      <c r="E8" s="2">
        <v>15</v>
      </c>
      <c r="F8" s="3" t="str">
        <f>HYPERLINK("http://www.sah.co.rs/sr-ehc.html?___store=serbian"," Pogledajte proizvod na sajtu -&gt;")</f>
        <v> Pogledajte proizvod na sajtu -&gt;</v>
      </c>
    </row>
    <row r="9" spans="1:6" ht="12.75">
      <c r="A9" s="2">
        <v>8</v>
      </c>
      <c r="B9" t="s">
        <v>2122</v>
      </c>
      <c r="C9" t="s">
        <v>2123</v>
      </c>
      <c r="D9" s="2">
        <v>25</v>
      </c>
      <c r="E9" s="2">
        <v>17</v>
      </c>
      <c r="F9" s="3" t="str">
        <f>HYPERLINK("http://www.sah.co.rs/apb-232.html?___store=serbian"," Pogledajte proizvod na sajtu -&gt;")</f>
        <v> Pogledajte proizvod na sajtu -&gt;</v>
      </c>
    </row>
    <row r="10" spans="1:6" ht="12.75">
      <c r="A10" s="2">
        <v>9</v>
      </c>
      <c r="B10" t="s">
        <v>2124</v>
      </c>
      <c r="C10" t="s">
        <v>2125</v>
      </c>
      <c r="D10" s="2">
        <v>18</v>
      </c>
      <c r="E10" s="2">
        <v>18</v>
      </c>
      <c r="F10" s="3" t="str">
        <f>HYPERLINK("http://www.sah.co.rs/apb-dusb.html?___store=serbian"," Pogledajte proizvod na sajtu -&gt;")</f>
        <v> Pogledajte proizvod na sajtu -&gt;</v>
      </c>
    </row>
    <row r="11" spans="1:6" ht="12.75">
      <c r="A11" s="2">
        <v>10</v>
      </c>
      <c r="B11" t="s">
        <v>2126</v>
      </c>
      <c r="C11" t="s">
        <v>2127</v>
      </c>
      <c r="D11" s="2">
        <v>47</v>
      </c>
      <c r="E11" s="2">
        <v>8</v>
      </c>
      <c r="F11" s="3" t="str">
        <f>HYPERLINK("http://www.sah.co.rs/th-pc-cab.html?___store=serbian"," Pogledajte proizvod na sajtu -&gt;")</f>
        <v> Pogledajte proizvod na sajtu -&gt;</v>
      </c>
    </row>
    <row r="12" spans="1:6" ht="12.75">
      <c r="A12" s="2">
        <v>11</v>
      </c>
      <c r="B12" t="s">
        <v>2128</v>
      </c>
      <c r="C12" t="s">
        <v>2127</v>
      </c>
      <c r="D12" s="2">
        <v>35</v>
      </c>
      <c r="E12" s="2">
        <v>3</v>
      </c>
      <c r="F12" s="3" t="str">
        <f>HYPERLINK("http://www.sah.co.rs/xc-pc-cab.html?___store=serbian"," Pogledajte proizvod na sajtu -&gt;")</f>
        <v> Pogledajte proizvod na sajtu -&gt;</v>
      </c>
    </row>
    <row r="13" spans="1:6" ht="12.75">
      <c r="A13" s="2">
        <v>12</v>
      </c>
      <c r="B13" t="s">
        <v>2129</v>
      </c>
      <c r="C13" t="s">
        <v>2127</v>
      </c>
      <c r="D13" s="2">
        <v>32</v>
      </c>
      <c r="E13" s="2">
        <v>3</v>
      </c>
      <c r="F13" s="3" t="str">
        <f>HYPERLINK("http://www.sah.co.rs/op-pc-cab.html?___store=serbian"," Pogledajte proizvod na sajtu -&gt;")</f>
        <v> Pogledajte proizvod na sajtu -&gt;</v>
      </c>
    </row>
    <row r="14" spans="1:6" ht="12.75">
      <c r="A14" s="2">
        <v>13</v>
      </c>
      <c r="B14" t="s">
        <v>2130</v>
      </c>
      <c r="C14" t="s">
        <v>2131</v>
      </c>
      <c r="D14" s="2">
        <v>4</v>
      </c>
      <c r="E14" s="2">
        <v>35</v>
      </c>
      <c r="F14" s="3" t="str">
        <f>HYPERLINK("http://www.sah.co.rs/af-copy.html?___store=serbian","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2.421875" style="0" customWidth="1"/>
    <col min="3" max="3" width="26.1406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2132</v>
      </c>
      <c r="C2" t="s">
        <v>2133</v>
      </c>
      <c r="D2" s="2">
        <v>9</v>
      </c>
      <c r="E2" s="2">
        <v>20</v>
      </c>
      <c r="F2" s="3" t="str">
        <f>HYPERLINK("http://www.sah.co.rs/gqm-15-15m.html?___store=serbian"," Pogledajte proizvod na sajtu -&gt;")</f>
        <v> Pogledajte proizvod na sajtu -&gt;</v>
      </c>
    </row>
    <row r="3" spans="1:6" ht="12.75">
      <c r="A3" s="2">
        <v>2</v>
      </c>
      <c r="B3" t="s">
        <v>2134</v>
      </c>
      <c r="C3" t="s">
        <v>2135</v>
      </c>
      <c r="D3" s="2">
        <v>25</v>
      </c>
      <c r="E3" s="2">
        <v>6</v>
      </c>
      <c r="F3" s="3" t="str">
        <f>HYPERLINK("http://www.sah.co.rs/gqm-15-2m.html?___store=serbian"," Pogledajte proizvod na sajtu -&gt;")</f>
        <v> Pogledajte proizvod na sajtu -&gt;</v>
      </c>
    </row>
    <row r="4" spans="1:6" ht="12.75">
      <c r="A4" s="2">
        <v>3</v>
      </c>
      <c r="B4" t="s">
        <v>2136</v>
      </c>
      <c r="C4" t="s">
        <v>2137</v>
      </c>
      <c r="D4" s="2">
        <v>24</v>
      </c>
      <c r="E4" s="2">
        <v>7</v>
      </c>
      <c r="F4" s="3" t="str">
        <f>HYPERLINK("http://www.sah.co.rs/gqm-15-3m.html?___store=serbian"," Pogledajte proizvod na sajtu -&gt;")</f>
        <v> Pogledajte proizvod na sajtu -&gt;</v>
      </c>
    </row>
    <row r="5" spans="1:6" ht="12.75">
      <c r="A5" s="2">
        <v>4</v>
      </c>
      <c r="B5" t="s">
        <v>2138</v>
      </c>
      <c r="C5" t="s">
        <v>2139</v>
      </c>
      <c r="D5" s="2">
        <v>19</v>
      </c>
      <c r="E5" s="2">
        <v>9</v>
      </c>
      <c r="F5" s="3" t="str">
        <f>HYPERLINK("http://www.sah.co.rs/gqm-15-5m.html?___store=serbian","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7.57421875" style="0" customWidth="1"/>
    <col min="3" max="3" width="39.4218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2140</v>
      </c>
      <c r="C2" t="s">
        <v>2141</v>
      </c>
      <c r="D2" s="2">
        <v>99</v>
      </c>
      <c r="E2" s="2">
        <v>10</v>
      </c>
      <c r="F2" s="3" t="str">
        <f>HYPERLINK("http://www.sah.co.rs/cs1-u.html?___store=serbian"," Pogledajte proizvod na sajtu -&gt;")</f>
        <v> Pogledajte proizvod na sajtu -&gt;</v>
      </c>
    </row>
    <row r="3" spans="1:6" ht="12.75">
      <c r="A3" s="2">
        <v>2</v>
      </c>
      <c r="B3" t="s">
        <v>2142</v>
      </c>
      <c r="C3" t="s">
        <v>2143</v>
      </c>
      <c r="D3" s="2">
        <v>31</v>
      </c>
      <c r="E3" s="2">
        <v>12</v>
      </c>
      <c r="F3" s="3" t="str">
        <f>HYPERLINK("http://www.sah.co.rs/sr-401.html?___store=serbian"," Pogledajte proizvod na sajtu -&gt;")</f>
        <v> Pogledajte proizvod na sajtu -&gt;</v>
      </c>
    </row>
    <row r="4" spans="1:6" ht="12.75">
      <c r="A4" s="2">
        <v>3</v>
      </c>
      <c r="B4" t="s">
        <v>2144</v>
      </c>
      <c r="C4" t="s">
        <v>2143</v>
      </c>
      <c r="D4" s="2">
        <v>26</v>
      </c>
      <c r="E4" s="2">
        <v>10</v>
      </c>
      <c r="F4" s="3" t="str">
        <f>HYPERLINK("http://www.sah.co.rs/yr101.html?___store=serbian"," Pogledajte proizvod na sajtu -&gt;")</f>
        <v> Pogledajte proizvod na sajtu -&gt;</v>
      </c>
    </row>
    <row r="5" spans="1:6" ht="12.75">
      <c r="A5" s="2">
        <v>4</v>
      </c>
      <c r="B5" t="s">
        <v>2145</v>
      </c>
      <c r="C5" t="s">
        <v>2143</v>
      </c>
      <c r="D5" s="2">
        <v>36</v>
      </c>
      <c r="E5" s="2">
        <v>10</v>
      </c>
      <c r="F5" s="3" t="str">
        <f>HYPERLINK("http://www.sah.co.rs/hl-30.html?___store=serbian","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5.57421875" style="0" customWidth="1"/>
    <col min="3" max="3" width="97.71093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146</v>
      </c>
      <c r="C2" t="s">
        <v>147</v>
      </c>
      <c r="D2" s="2">
        <v>0</v>
      </c>
      <c r="E2" s="2">
        <v>65</v>
      </c>
      <c r="F2" s="3" t="str">
        <f>HYPERLINK("http://www.sah.co.rs/cb7-rd62.html?___store=serbian"," Pogledajte proizvod na sajtu -&gt;")</f>
        <v> Pogledajte proizvod na sajtu -&gt;</v>
      </c>
    </row>
    <row r="3" spans="1:6" ht="12.75">
      <c r="A3" s="2">
        <v>2</v>
      </c>
      <c r="B3" t="s">
        <v>148</v>
      </c>
      <c r="C3" t="s">
        <v>149</v>
      </c>
      <c r="D3" s="2">
        <v>1</v>
      </c>
      <c r="E3" s="2">
        <v>70</v>
      </c>
      <c r="F3" s="3" t="str">
        <f>HYPERLINK("http://www.sah.co.rs/cb7-rd82.html?___store=serbian"," Pogledajte proizvod na sajtu -&gt;")</f>
        <v> Pogledajte proizvod na sajtu -&gt;</v>
      </c>
    </row>
    <row r="4" spans="1:6" ht="12.75">
      <c r="A4" s="2">
        <v>3</v>
      </c>
      <c r="B4" t="s">
        <v>150</v>
      </c>
      <c r="C4" t="s">
        <v>151</v>
      </c>
      <c r="D4" s="2">
        <v>6</v>
      </c>
      <c r="E4" s="2">
        <v>80</v>
      </c>
      <c r="F4" s="3" t="str">
        <f>HYPERLINK("http://www.sah.co.rs/cb7-rd828.html?___store=serbian"," Pogledajte proizvod na sajtu -&gt;")</f>
        <v> Pogledajte proizvod na sajtu -&gt;</v>
      </c>
    </row>
    <row r="5" spans="1:6" ht="12.75">
      <c r="A5" s="2">
        <v>4</v>
      </c>
      <c r="B5" t="s">
        <v>152</v>
      </c>
      <c r="C5" t="s">
        <v>153</v>
      </c>
      <c r="D5" s="2">
        <v>28</v>
      </c>
      <c r="E5" s="2">
        <v>100</v>
      </c>
      <c r="F5" s="3" t="str">
        <f>HYPERLINK("http://www.sah.co.rs/ge3-p62a.html?___store=serbian"," Pogledajte proizvod na sajtu -&gt;")</f>
        <v> Pogledajte proizvod na sajtu -&gt;</v>
      </c>
    </row>
    <row r="6" spans="1:6" ht="12.75">
      <c r="A6" s="2">
        <v>5</v>
      </c>
      <c r="B6" t="s">
        <v>154</v>
      </c>
      <c r="C6" t="s">
        <v>153</v>
      </c>
      <c r="D6" s="2">
        <v>9</v>
      </c>
      <c r="E6" s="2">
        <v>100</v>
      </c>
      <c r="F6" s="3" t="str">
        <f>HYPERLINK("http://www.sah.co.rs/ge7-p62a.html?___store=serbian"," Pogledajte proizvod na sajtu -&gt;")</f>
        <v> Pogledajte proizvod na sajtu -&gt;</v>
      </c>
    </row>
    <row r="7" spans="1:6" ht="12.75">
      <c r="A7" s="2">
        <v>6</v>
      </c>
      <c r="B7" t="s">
        <v>155</v>
      </c>
      <c r="C7" t="s">
        <v>156</v>
      </c>
      <c r="D7" s="2">
        <v>28</v>
      </c>
      <c r="E7" s="2">
        <v>70</v>
      </c>
      <c r="F7" s="3" t="str">
        <f>HYPERLINK("http://www.sah.co.rs/tc-pro482-cra.html?___store=serbian"," Pogledajte proizvod na sajtu -&gt;")</f>
        <v> Pogledajte proizvod na sajtu -&gt;</v>
      </c>
    </row>
    <row r="8" spans="1:6" ht="12.75">
      <c r="A8" s="2">
        <v>7</v>
      </c>
      <c r="B8" t="s">
        <v>157</v>
      </c>
      <c r="C8" t="s">
        <v>158</v>
      </c>
      <c r="D8" s="2">
        <v>19</v>
      </c>
      <c r="E8" s="2">
        <v>70</v>
      </c>
      <c r="F8" s="3" t="str">
        <f>HYPERLINK("http://www.sah.co.rs/tc-pro482-crd.html?___store=serbian"," Pogledajte proizvod na sajtu -&gt;")</f>
        <v> Pogledajte proizvod na sajtu -&gt;</v>
      </c>
    </row>
    <row r="9" spans="1:6" ht="12.75">
      <c r="A9" s="2">
        <v>8</v>
      </c>
      <c r="B9" t="s">
        <v>159</v>
      </c>
      <c r="C9" t="s">
        <v>160</v>
      </c>
      <c r="D9" s="2">
        <v>4</v>
      </c>
      <c r="E9" s="2">
        <v>50</v>
      </c>
      <c r="F9" s="3" t="str">
        <f>HYPERLINK("http://www.sah.co.rs/dhc1j-a2pr.html?___store=serbian"," Pogledajte proizvod na sajtu -&gt;")</f>
        <v> Pogledajte proizvod na sajtu -&gt;</v>
      </c>
    </row>
    <row r="10" spans="1:6" ht="12.75">
      <c r="A10" s="2">
        <v>9</v>
      </c>
      <c r="B10" t="s">
        <v>161</v>
      </c>
      <c r="C10" t="s">
        <v>162</v>
      </c>
      <c r="D10" s="2">
        <v>28</v>
      </c>
      <c r="E10" s="2">
        <v>50</v>
      </c>
      <c r="F10" s="3" t="str">
        <f>HYPERLINK("http://www.sah.co.rs/dhc1j-d2pr.html?___store=serbian"," Pogledajte proizvod na sajtu -&gt;")</f>
        <v> Pogledajte proizvod na sajtu -&gt;</v>
      </c>
    </row>
    <row r="11" spans="1:6" ht="12.75">
      <c r="A11" s="2">
        <v>10</v>
      </c>
      <c r="B11" t="s">
        <v>163</v>
      </c>
      <c r="C11" t="s">
        <v>164</v>
      </c>
      <c r="D11" s="2">
        <v>48</v>
      </c>
      <c r="E11" s="2">
        <v>60</v>
      </c>
      <c r="F11" s="3" t="str">
        <f>HYPERLINK("http://www.sah.co.rs/ci8-rc60.html?___store=serbian"," Pogledajte proizvod na sajtu -&gt;")</f>
        <v> Pogledajte proizvod na sajtu -&gt;</v>
      </c>
    </row>
    <row r="12" spans="1:6" ht="12.75">
      <c r="A12" s="2">
        <v>11</v>
      </c>
      <c r="B12" t="s">
        <v>165</v>
      </c>
      <c r="C12" t="s">
        <v>164</v>
      </c>
      <c r="D12" s="2">
        <v>55</v>
      </c>
      <c r="E12" s="2">
        <v>60</v>
      </c>
      <c r="F12" s="3" t="str">
        <f>HYPERLINK("http://www.sah.co.rs/ci4-rc60.html?___store=serbian"," Pogledajte proizvod na sajtu -&gt;")</f>
        <v> Pogledajte proizvod na sajtu -&gt;</v>
      </c>
    </row>
    <row r="13" spans="1:6" ht="12.75">
      <c r="A13" s="2">
        <v>12</v>
      </c>
      <c r="B13" t="s">
        <v>166</v>
      </c>
      <c r="C13" t="s">
        <v>164</v>
      </c>
      <c r="D13" s="2">
        <v>16</v>
      </c>
      <c r="E13" s="2">
        <v>70</v>
      </c>
      <c r="F13" s="3" t="str">
        <f>HYPERLINK("http://www.sah.co.rs/ci7-rc60.html?___store=serbian"," Pogledajte proizvod na sajtu -&gt;")</f>
        <v> Pogledajte proizvod na sajtu -&gt;</v>
      </c>
    </row>
    <row r="14" spans="1:6" ht="12.75">
      <c r="A14" s="2">
        <v>13</v>
      </c>
      <c r="B14" t="s">
        <v>167</v>
      </c>
      <c r="C14" t="s">
        <v>168</v>
      </c>
      <c r="D14" s="2">
        <v>57</v>
      </c>
      <c r="E14" s="2">
        <v>65</v>
      </c>
      <c r="F14" s="3" t="str">
        <f>HYPERLINK("http://www.sah.co.rs/ci4f-rc60.html?___store=serbian"," Pogledajte proizvod na sajtu -&gt;")</f>
        <v> Pogledajte proizvod na sajtu -&gt;</v>
      </c>
    </row>
    <row r="15" spans="1:6" ht="12.75">
      <c r="A15" s="2">
        <v>14</v>
      </c>
      <c r="B15" t="s">
        <v>169</v>
      </c>
      <c r="C15" t="s">
        <v>168</v>
      </c>
      <c r="D15" s="2">
        <v>18</v>
      </c>
      <c r="E15" s="2">
        <v>70</v>
      </c>
      <c r="F15" s="3" t="str">
        <f>HYPERLINK("http://www.sah.co.rs/ci7f-rc60.html?___store=serbian"," Pogledajte proizvod na sajtu -&gt;")</f>
        <v> Pogledajte proizvod na sajtu -&gt;</v>
      </c>
    </row>
    <row r="16" spans="1:6" ht="12.75">
      <c r="A16" s="2">
        <v>15</v>
      </c>
      <c r="B16" t="s">
        <v>170</v>
      </c>
      <c r="C16" t="s">
        <v>171</v>
      </c>
      <c r="D16" s="2">
        <v>24</v>
      </c>
      <c r="E16" s="2">
        <v>35</v>
      </c>
      <c r="F16" s="3" t="str">
        <f>HYPERLINK("http://www.sah.co.rs/jdm15b.html?___store=serbian"," Pogledajte proizvod na sajtu -&gt;")</f>
        <v> Pogledajte proizvod na sajtu -&gt;</v>
      </c>
    </row>
    <row r="17" spans="1:6" ht="12.75">
      <c r="A17" s="2">
        <v>16</v>
      </c>
      <c r="B17" t="s">
        <v>172</v>
      </c>
      <c r="C17" t="s">
        <v>173</v>
      </c>
      <c r="D17" s="2">
        <v>254</v>
      </c>
      <c r="E17" s="2">
        <v>20</v>
      </c>
      <c r="F17" s="3" t="str">
        <f>HYPERLINK("http://www.sah.co.rs/dh48j-11a-220v.html?___store=serbian"," Pogledajte proizvod na sajtu -&gt;")</f>
        <v> Pogledajte proizvod na sajtu -&gt;</v>
      </c>
    </row>
    <row r="18" spans="1:6" ht="12.75">
      <c r="A18" s="2">
        <v>17</v>
      </c>
      <c r="B18" t="s">
        <v>174</v>
      </c>
      <c r="C18" t="s">
        <v>175</v>
      </c>
      <c r="D18" s="2">
        <v>10</v>
      </c>
      <c r="E18" s="2">
        <v>65</v>
      </c>
      <c r="F18" s="3" t="str">
        <f>HYPERLINK("http://www.sah.co.rs/cop-01.html?___store=serbian"," Pogledajte proizvod na sajtu -&gt;")</f>
        <v> Pogledajte proizvod na sajtu -&gt;</v>
      </c>
    </row>
    <row r="19" spans="1:6" ht="12.75">
      <c r="A19" s="2">
        <v>18</v>
      </c>
      <c r="B19" t="s">
        <v>176</v>
      </c>
      <c r="C19" t="s">
        <v>177</v>
      </c>
      <c r="D19" s="2">
        <v>25</v>
      </c>
      <c r="E19" s="2">
        <v>40</v>
      </c>
      <c r="F19" s="3" t="str">
        <f>HYPERLINK("http://www.sah.co.rs/dhc7j.html?___store=serbian"," Pogledajte proizvod na sajtu -&gt;")</f>
        <v> Pogledajte proizvod na sajtu -&gt;</v>
      </c>
    </row>
    <row r="20" spans="1:6" ht="12.75">
      <c r="A20" s="2">
        <v>19</v>
      </c>
      <c r="B20" t="s">
        <v>178</v>
      </c>
      <c r="C20" t="s">
        <v>177</v>
      </c>
      <c r="D20" s="2">
        <v>28</v>
      </c>
      <c r="E20" s="2">
        <v>30</v>
      </c>
      <c r="F20" s="3" t="str">
        <f>HYPERLINK("http://www.sah.co.rs/dhc5j-a.html?___store=serbian"," Pogledajte proizvod na sajtu -&gt;")</f>
        <v> Pogledajte proizvod na sajtu -&gt;</v>
      </c>
    </row>
    <row r="21" spans="1:6" ht="12.75">
      <c r="A21" s="2">
        <v>20</v>
      </c>
      <c r="B21" t="s">
        <v>179</v>
      </c>
      <c r="C21" t="s">
        <v>180</v>
      </c>
      <c r="D21" s="2">
        <v>23</v>
      </c>
      <c r="E21" s="2">
        <v>45</v>
      </c>
      <c r="F21" s="3" t="str">
        <f>HYPERLINK("http://www.sah.co.rs/ca8-rb60.html?___store=serbian"," Pogledajte proizvod na sajtu -&gt;")</f>
        <v> Pogledajte proizvod na sajtu -&gt;</v>
      </c>
    </row>
    <row r="22" spans="1:6" ht="12.75">
      <c r="A22" s="2">
        <v>21</v>
      </c>
      <c r="B22" t="s">
        <v>181</v>
      </c>
      <c r="C22" t="s">
        <v>180</v>
      </c>
      <c r="D22" s="2">
        <v>72</v>
      </c>
      <c r="E22" s="2">
        <v>15</v>
      </c>
      <c r="F22" s="3" t="str">
        <f>HYPERLINK("http://www.sah.co.rs/dh48j-220vac.html?___store=serbian"," Pogledajte proizvod na sajtu -&gt;")</f>
        <v> Pogledajte proizvod na sajtu -&gt;</v>
      </c>
    </row>
    <row r="23" spans="1:6" ht="12.75">
      <c r="A23" s="2">
        <v>22</v>
      </c>
      <c r="B23" t="s">
        <v>182</v>
      </c>
      <c r="C23" t="s">
        <v>180</v>
      </c>
      <c r="D23" s="2">
        <v>19</v>
      </c>
      <c r="E23" s="2">
        <v>45</v>
      </c>
      <c r="F23" s="3" t="str">
        <f>HYPERLINK("http://www.sah.co.rs/ca4-rb60.html?___store=serbian"," Pogledajte proizvod na sajtu -&gt;")</f>
        <v> Pogledajte proizvod na sajtu -&gt;</v>
      </c>
    </row>
    <row r="24" spans="1:6" ht="12.75">
      <c r="A24" s="2">
        <v>23</v>
      </c>
      <c r="B24" t="s">
        <v>183</v>
      </c>
      <c r="C24" t="s">
        <v>180</v>
      </c>
      <c r="D24" s="2">
        <v>25</v>
      </c>
      <c r="E24" s="2">
        <v>45</v>
      </c>
      <c r="F24" s="3" t="str">
        <f>HYPERLINK("http://www.sah.co.rs/ca7-rb60.html?___store=serbian"," Pogledajte proizvod na sajtu -&gt;")</f>
        <v> Pogledajte proizvod na sajtu -&gt;</v>
      </c>
    </row>
    <row r="25" spans="1:6" ht="12.75">
      <c r="A25" s="2">
        <v>24</v>
      </c>
      <c r="B25" t="s">
        <v>184</v>
      </c>
      <c r="C25" t="s">
        <v>185</v>
      </c>
      <c r="D25" s="2">
        <v>63</v>
      </c>
      <c r="E25" s="2">
        <v>20</v>
      </c>
      <c r="F25" s="3" t="str">
        <f>HYPERLINK("http://www.sah.co.rs/ch48j.html?___store=serbian"," Pogledajte proizvod na sajtu -&gt;")</f>
        <v> Pogledajte proizvod na sajtu -&gt;</v>
      </c>
    </row>
    <row r="26" spans="1:6" ht="12.75">
      <c r="A26" s="2">
        <v>25</v>
      </c>
      <c r="B26" t="s">
        <v>186</v>
      </c>
      <c r="C26" t="s">
        <v>187</v>
      </c>
      <c r="D26" s="2">
        <v>22</v>
      </c>
      <c r="E26" s="2">
        <v>15</v>
      </c>
      <c r="F26" s="3" t="str">
        <f>HYPERLINK("http://www.sah.co.rs/dh48j-24vdc.html?___store=serbian"," Pogledajte proizvod na sajtu -&gt;")</f>
        <v> Pogledajte proizvod na sajtu -&gt;</v>
      </c>
    </row>
    <row r="27" spans="1:6" ht="12.75">
      <c r="A27" s="2">
        <v>26</v>
      </c>
      <c r="B27" t="s">
        <v>188</v>
      </c>
      <c r="C27" t="s">
        <v>189</v>
      </c>
      <c r="D27" s="2">
        <v>15</v>
      </c>
      <c r="E27" s="2">
        <v>40</v>
      </c>
      <c r="F27" s="3" t="str">
        <f>HYPERLINK("http://www.sah.co.rs/cx2c-ps41a.html?___store=serbian"," Pogledajte proizvod na sajtu -&gt;")</f>
        <v> Pogledajte proizvod na sajtu -&gt;</v>
      </c>
    </row>
    <row r="28" spans="1:6" ht="12.75">
      <c r="A28" s="2">
        <v>27</v>
      </c>
      <c r="B28" t="s">
        <v>190</v>
      </c>
      <c r="C28" t="s">
        <v>189</v>
      </c>
      <c r="D28" s="2">
        <v>20</v>
      </c>
      <c r="E28" s="2">
        <v>45</v>
      </c>
      <c r="F28" s="3" t="str">
        <f>HYPERLINK("http://www.sah.co.rs/cx8c-ps61a.html?___store=serbian"," Pogledajte proizvod na sajtu -&gt;")</f>
        <v> Pogledajte proizvod na sajtu -&gt;</v>
      </c>
    </row>
    <row r="29" spans="1:6" ht="12.75">
      <c r="A29" s="2">
        <v>28</v>
      </c>
      <c r="B29" t="s">
        <v>191</v>
      </c>
      <c r="C29" t="s">
        <v>192</v>
      </c>
      <c r="D29" s="2">
        <v>13</v>
      </c>
      <c r="E29" s="2">
        <v>40</v>
      </c>
      <c r="F29" s="3" t="str">
        <f>HYPERLINK("http://www.sah.co.rs/cx3-ps61a.html?___store=serbian"," Pogledajte proizvod na sajtu -&gt;")</f>
        <v> Pogledajte proizvod na sajtu -&gt;</v>
      </c>
    </row>
    <row r="30" spans="1:6" ht="12.75">
      <c r="A30" s="2">
        <v>29</v>
      </c>
      <c r="B30" t="s">
        <v>193</v>
      </c>
      <c r="C30" t="s">
        <v>192</v>
      </c>
      <c r="D30" s="2">
        <v>25</v>
      </c>
      <c r="E30" s="2">
        <v>40</v>
      </c>
      <c r="F30" s="3" t="str">
        <f>HYPERLINK("http://www.sah.co.rs/cx8-ps61a.html?___store=serbian"," Pogledajte proizvod na sajtu -&gt;")</f>
        <v> Pogledajte proizvod na sajtu -&gt;</v>
      </c>
    </row>
    <row r="31" spans="1:6" ht="12.75">
      <c r="A31" s="2">
        <v>30</v>
      </c>
      <c r="B31" t="s">
        <v>194</v>
      </c>
      <c r="C31" t="s">
        <v>195</v>
      </c>
      <c r="D31" s="2">
        <v>45</v>
      </c>
      <c r="E31" s="2">
        <v>15</v>
      </c>
      <c r="F31" s="3" t="str">
        <f>HYPERLINK("http://www.sah.co.rs/h7ec-6c-fbv.html?___store=serbian"," Pogledajte proizvod na sajtu -&gt;")</f>
        <v> Pogledajte proizvod na sajtu -&gt;</v>
      </c>
    </row>
    <row r="32" spans="1:6" ht="12.75">
      <c r="A32" s="2">
        <v>31</v>
      </c>
      <c r="B32" t="s">
        <v>196</v>
      </c>
      <c r="C32" t="s">
        <v>197</v>
      </c>
      <c r="D32" s="2">
        <v>96</v>
      </c>
      <c r="E32" s="2">
        <v>15</v>
      </c>
      <c r="F32" s="3" t="str">
        <f>HYPERLINK("http://www.sah.co.rs/h7ec-6c-blvm.html?___store=serbian"," Pogledajte proizvod na sajtu -&gt;")</f>
        <v> Pogledajte proizvod na sajtu -&gt;</v>
      </c>
    </row>
    <row r="33" spans="1:6" ht="12.75">
      <c r="A33" s="2">
        <v>32</v>
      </c>
      <c r="B33" t="s">
        <v>198</v>
      </c>
      <c r="C33" t="s">
        <v>199</v>
      </c>
      <c r="D33" s="2">
        <v>101</v>
      </c>
      <c r="E33" s="2">
        <v>12</v>
      </c>
      <c r="F33" s="3" t="str">
        <f>HYPERLINK("http://www.sah.co.rs/h7ec-6c-blm.html?___store=serbian"," Pogledajte proizvod na sajtu -&gt;")</f>
        <v> Pogledajte proizvod na sajtu -&gt;</v>
      </c>
    </row>
    <row r="34" spans="1:6" ht="12.75">
      <c r="A34" s="2">
        <v>33</v>
      </c>
      <c r="B34" t="s">
        <v>200</v>
      </c>
      <c r="C34" t="s">
        <v>201</v>
      </c>
      <c r="D34" s="2">
        <v>0</v>
      </c>
      <c r="E34" s="2">
        <v>15</v>
      </c>
      <c r="F34" s="3" t="str">
        <f>HYPERLINK("http://www.sah.co.rs/dhc3j-6l.html?___store=serbian"," Pogledajte proizvod na sajtu -&gt;")</f>
        <v> Pogledajte proizvod na sajtu -&gt;</v>
      </c>
    </row>
    <row r="35" spans="1:6" ht="12.75">
      <c r="A35" s="2">
        <v>34</v>
      </c>
      <c r="B35" t="s">
        <v>202</v>
      </c>
      <c r="C35" t="s">
        <v>203</v>
      </c>
      <c r="D35" s="2">
        <v>14</v>
      </c>
      <c r="E35" s="2">
        <v>70</v>
      </c>
      <c r="F35" s="3" t="str">
        <f>HYPERLINK("http://www.sah.co.rs/cl7-rd62.html?___store=serbian","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9.7109375" style="0" customWidth="1"/>
    <col min="3" max="3" width="63.71093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2146</v>
      </c>
      <c r="C2" t="s">
        <v>2147</v>
      </c>
      <c r="D2" s="2">
        <v>152</v>
      </c>
      <c r="E2" s="2">
        <v>35</v>
      </c>
      <c r="F2" s="3" t="str">
        <f>HYPERLINK("http://www.sah.co.rs/zkg-2000.html?___store=serbian"," Pogledajte proizvod na sajtu -&gt;")</f>
        <v> Pogledajte proizvod na sajtu -&gt;</v>
      </c>
    </row>
    <row r="3" spans="1:6" ht="12.75">
      <c r="A3" s="2">
        <v>2</v>
      </c>
      <c r="B3" t="s">
        <v>2148</v>
      </c>
      <c r="C3" t="s">
        <v>2149</v>
      </c>
      <c r="D3" s="2">
        <v>4</v>
      </c>
      <c r="E3" s="2">
        <v>280</v>
      </c>
      <c r="F3" s="3" t="str">
        <f>HYPERLINK("http://www.sah.co.rs/zkc-2101.html?___store=serbian","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3.140625" style="0" customWidth="1"/>
    <col min="3" max="3" width="116.85156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2150</v>
      </c>
      <c r="C2" t="s">
        <v>2151</v>
      </c>
      <c r="D2" s="2">
        <v>15</v>
      </c>
      <c r="E2" s="2">
        <v>55</v>
      </c>
      <c r="F2" s="3" t="str">
        <f>HYPERLINK("http://www.sah.co.rs/fc-071.html?___store=serbian"," Pogledajte proizvod na sajtu -&gt;")</f>
        <v> Pogledajte proizvod na sajtu -&gt;</v>
      </c>
    </row>
    <row r="3" spans="1:6" ht="12.75">
      <c r="A3" s="2">
        <v>2</v>
      </c>
      <c r="B3" t="s">
        <v>2152</v>
      </c>
      <c r="C3" t="s">
        <v>2153</v>
      </c>
      <c r="D3" s="2">
        <v>57</v>
      </c>
      <c r="E3" s="2">
        <v>65</v>
      </c>
      <c r="F3" s="3" t="str">
        <f>HYPERLINK("http://www.sah.co.rs/xmtf-627.html?___store=serbian"," Pogledajte proizvod na sajtu -&gt;")</f>
        <v> Pogledajte proizvod na sajtu -&gt;</v>
      </c>
    </row>
    <row r="4" spans="1:6" ht="12.75">
      <c r="A4" s="2">
        <v>3</v>
      </c>
      <c r="B4" t="s">
        <v>2154</v>
      </c>
      <c r="C4" t="s">
        <v>2153</v>
      </c>
      <c r="D4" s="2">
        <v>20</v>
      </c>
      <c r="E4" s="2">
        <v>65</v>
      </c>
      <c r="F4" s="3" t="str">
        <f>HYPERLINK("http://www.sah.co.rs/xmtc-617.html?___store=serbian"," Pogledajte proizvod na sajtu -&gt;")</f>
        <v> Pogledajte proizvod na sajtu -&gt;</v>
      </c>
    </row>
    <row r="5" spans="1:6" ht="12.75">
      <c r="A5" s="2">
        <v>4</v>
      </c>
      <c r="B5" t="s">
        <v>2155</v>
      </c>
      <c r="C5" t="s">
        <v>2156</v>
      </c>
      <c r="D5" s="2">
        <v>20</v>
      </c>
      <c r="E5" s="2">
        <v>80</v>
      </c>
      <c r="F5" s="3" t="str">
        <f>HYPERLINK("http://www.sah.co.rs/xmta-9007c.html?___store=serbian"," Pogledajte proizvod na sajtu -&gt;")</f>
        <v> Pogledajte proizvod na sajtu -&gt;</v>
      </c>
    </row>
    <row r="6" spans="1:6" ht="12.75">
      <c r="A6" s="2">
        <v>5</v>
      </c>
      <c r="B6" t="s">
        <v>2157</v>
      </c>
      <c r="C6" t="s">
        <v>2156</v>
      </c>
      <c r="D6" s="2">
        <v>20</v>
      </c>
      <c r="E6" s="2">
        <v>100</v>
      </c>
      <c r="F6" s="3" t="str">
        <f>HYPERLINK("http://www.sah.co.rs/xmt9007-8.html?___store=serbian"," Pogledajte proizvod na sajtu -&gt;")</f>
        <v> Pogledajte proizvod na sajtu -&gt;</v>
      </c>
    </row>
    <row r="7" spans="1:6" ht="12.75">
      <c r="A7" s="2">
        <v>6</v>
      </c>
      <c r="B7" t="s">
        <v>2158</v>
      </c>
      <c r="C7" t="s">
        <v>2156</v>
      </c>
      <c r="D7" s="2">
        <v>29</v>
      </c>
      <c r="E7" s="2">
        <v>100</v>
      </c>
      <c r="F7" s="3" t="str">
        <f>HYPERLINK("http://www.sah.co.rs/xmta9007-8.html?___store=serbian"," Pogledajte proizvod na sajtu -&gt;")</f>
        <v> Pogledajte proizvod na sajtu -&gt;</v>
      </c>
    </row>
    <row r="8" spans="1:6" ht="12.75">
      <c r="A8" s="2">
        <v>7</v>
      </c>
      <c r="B8" t="s">
        <v>2159</v>
      </c>
      <c r="C8" t="s">
        <v>2156</v>
      </c>
      <c r="D8" s="2">
        <v>53</v>
      </c>
      <c r="E8" s="2">
        <v>80</v>
      </c>
      <c r="F8" s="3" t="str">
        <f>HYPERLINK("http://www.sah.co.rs/xmt-9007c.html?___store=serbian"," Pogledajte proizvod na sajtu -&gt;")</f>
        <v> Pogledajte proizvod na sajtu -&gt;</v>
      </c>
    </row>
    <row r="9" spans="1:6" ht="12.75">
      <c r="A9" s="2">
        <v>8</v>
      </c>
      <c r="B9" t="s">
        <v>2160</v>
      </c>
      <c r="C9" t="s">
        <v>2161</v>
      </c>
      <c r="D9" s="2">
        <v>25</v>
      </c>
      <c r="E9" s="2">
        <v>120</v>
      </c>
      <c r="F9" s="3" t="str">
        <f>HYPERLINK("http://www.sah.co.rs/xmt9007-8k.html?___store=serbian"," Pogledajte proizvod na sajtu -&gt;")</f>
        <v> Pogledajte proizvod na sajtu -&gt;</v>
      </c>
    </row>
    <row r="10" spans="1:6" ht="12.75">
      <c r="A10" s="2">
        <v>9</v>
      </c>
      <c r="B10" t="s">
        <v>2162</v>
      </c>
      <c r="C10" t="s">
        <v>2161</v>
      </c>
      <c r="D10" s="2">
        <v>18</v>
      </c>
      <c r="E10" s="2">
        <v>120</v>
      </c>
      <c r="F10" s="3" t="str">
        <f>HYPERLINK("http://www.sah.co.rs/xmta9007-8k.html?___store=serbian"," Pogledajte proizvod na sajtu -&gt;")</f>
        <v> Pogledajte proizvod na sajtu -&gt;</v>
      </c>
    </row>
    <row r="11" spans="1:6" ht="12.75">
      <c r="A11" s="2">
        <v>10</v>
      </c>
      <c r="B11" t="s">
        <v>2163</v>
      </c>
      <c r="C11" t="s">
        <v>2164</v>
      </c>
      <c r="D11" s="2">
        <v>11</v>
      </c>
      <c r="E11" s="2">
        <v>150</v>
      </c>
      <c r="F11" s="3" t="str">
        <f>HYPERLINK("http://www.sah.co.rs/cjlc-9007.html?___store=serbian"," Pogledajte proizvod na sajtu -&gt;")</f>
        <v> Pogledajte proizvod na sajtu -&gt;</v>
      </c>
    </row>
    <row r="12" spans="1:6" ht="12.75">
      <c r="A12" s="2">
        <v>11</v>
      </c>
      <c r="B12" t="s">
        <v>2165</v>
      </c>
      <c r="C12" t="s">
        <v>2166</v>
      </c>
      <c r="D12" s="2">
        <v>5</v>
      </c>
      <c r="E12" s="2">
        <v>65</v>
      </c>
      <c r="F12" s="3" t="str">
        <f>HYPERLINK("http://www.sah.co.rs/wsk-303.html?___store=serbian","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22.7109375" style="0" customWidth="1"/>
    <col min="3" max="3" width="53.003906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2167</v>
      </c>
      <c r="C2" t="s">
        <v>2168</v>
      </c>
      <c r="D2" s="2">
        <v>7</v>
      </c>
      <c r="E2" s="2">
        <v>1.5</v>
      </c>
      <c r="F2" s="3" t="str">
        <f>HYPERLINK("http://www.sah.co.rs/mk3p5-i-220vac.html?___store=serbian"," Pogledajte proizvod na sajtu -&gt;")</f>
        <v> Pogledajte proizvod na sajtu -&gt;</v>
      </c>
    </row>
    <row r="3" spans="1:6" ht="12.75">
      <c r="A3" s="2">
        <v>2</v>
      </c>
      <c r="B3" t="s">
        <v>2169</v>
      </c>
      <c r="C3" t="s">
        <v>2168</v>
      </c>
      <c r="D3" s="2">
        <v>207</v>
      </c>
      <c r="E3" s="2">
        <v>3</v>
      </c>
      <c r="F3" s="3" t="str">
        <f>HYPERLINK("http://www.sah.co.rs/70-03-220vac.html?___store=serbian"," Pogledajte proizvod na sajtu -&gt;")</f>
        <v> Pogledajte proizvod na sajtu -&gt;</v>
      </c>
    </row>
    <row r="4" spans="1:6" ht="12.75">
      <c r="A4" s="2">
        <v>3</v>
      </c>
      <c r="B4" t="s">
        <v>2170</v>
      </c>
      <c r="C4" t="s">
        <v>2171</v>
      </c>
      <c r="D4" s="2">
        <v>25</v>
      </c>
      <c r="E4" s="2">
        <v>3</v>
      </c>
      <c r="F4" s="3" t="str">
        <f>HYPERLINK("http://www.sah.co.rs/70-03-24vac.html?___store=serbian"," Pogledajte proizvod na sajtu -&gt;")</f>
        <v> Pogledajte proizvod na sajtu -&gt;</v>
      </c>
    </row>
    <row r="5" spans="1:6" ht="12.75">
      <c r="A5" s="2">
        <v>4</v>
      </c>
      <c r="B5" t="s">
        <v>2172</v>
      </c>
      <c r="C5" t="s">
        <v>2173</v>
      </c>
      <c r="D5" s="2">
        <v>3</v>
      </c>
      <c r="E5" s="2">
        <v>3.2</v>
      </c>
      <c r="F5" s="3" t="str">
        <f>HYPERLINK("http://www.sah.co.rs/80-03-24vdc.html?___store=serbian"," Pogledajte proizvod na sajtu -&gt;")</f>
        <v> Pogledajte proizvod na sajtu -&gt;</v>
      </c>
    </row>
    <row r="6" spans="1:6" ht="12.75">
      <c r="A6" s="2">
        <v>5</v>
      </c>
      <c r="B6" t="s">
        <v>2174</v>
      </c>
      <c r="C6" t="s">
        <v>2173</v>
      </c>
      <c r="D6" s="2">
        <v>175</v>
      </c>
      <c r="E6" s="2">
        <v>2</v>
      </c>
      <c r="F6" s="3" t="str">
        <f>HYPERLINK("http://www.sah.co.rs/mk3p5-i-24vdc.html?___store=serbian"," Pogledajte proizvod na sajtu -&gt;")</f>
        <v> Pogledajte proizvod na sajtu -&gt;</v>
      </c>
    </row>
    <row r="7" spans="1:6" ht="12.75">
      <c r="A7" s="2">
        <v>6</v>
      </c>
      <c r="B7" t="s">
        <v>2175</v>
      </c>
      <c r="C7" t="s">
        <v>2173</v>
      </c>
      <c r="D7" s="2">
        <v>173</v>
      </c>
      <c r="E7" s="2">
        <v>3</v>
      </c>
      <c r="F7" s="3" t="str">
        <f>HYPERLINK("http://www.sah.co.rs/70-03-24vdc.html?___store=serbian"," Pogledajte proizvod na sajtu -&gt;")</f>
        <v> Pogledajte proizvod na sajtu -&gt;</v>
      </c>
    </row>
    <row r="8" spans="1:6" ht="12.75">
      <c r="A8" s="2">
        <v>7</v>
      </c>
      <c r="B8" t="s">
        <v>2176</v>
      </c>
      <c r="C8" t="s">
        <v>2177</v>
      </c>
      <c r="D8" s="2">
        <v>157</v>
      </c>
      <c r="E8" s="2">
        <v>2</v>
      </c>
      <c r="F8" s="3" t="str">
        <f>HYPERLINK("http://www.sah.co.rs/my3-220vac.html?___store=serbian"," Pogledajte proizvod na sajtu -&gt;")</f>
        <v> Pogledajte proizvod na sajtu -&gt;</v>
      </c>
    </row>
    <row r="9" spans="1:6" ht="12.75">
      <c r="A9" s="2">
        <v>8</v>
      </c>
      <c r="B9" t="s">
        <v>2178</v>
      </c>
      <c r="C9" t="s">
        <v>2179</v>
      </c>
      <c r="D9" s="2">
        <v>168</v>
      </c>
      <c r="E9" s="2">
        <v>2</v>
      </c>
      <c r="F9" s="3" t="str">
        <f>HYPERLINK("http://www.sah.co.rs/my3-24vdc.html?___store=serbian"," Pogledajte proizvod na sajtu -&gt;")</f>
        <v> Pogledajte proizvod na sajtu -&gt;</v>
      </c>
    </row>
    <row r="10" spans="1:6" ht="12.75">
      <c r="A10" s="2">
        <v>9</v>
      </c>
      <c r="B10" t="s">
        <v>2180</v>
      </c>
      <c r="C10" t="s">
        <v>2181</v>
      </c>
      <c r="D10" s="2">
        <v>282</v>
      </c>
      <c r="E10" s="2">
        <v>6</v>
      </c>
      <c r="F10" s="3" t="str">
        <f>HYPERLINK("http://www.sah.co.rs/rub3c1-220vac.html?___store=serbian"," Pogledajte proizvod na sajtu -&gt;")</f>
        <v> Pogledajte proizvod na sajtu -&gt;</v>
      </c>
    </row>
    <row r="11" spans="1:6" ht="12.75">
      <c r="A11" s="2">
        <v>10</v>
      </c>
      <c r="B11" t="s">
        <v>2182</v>
      </c>
      <c r="C11" t="s">
        <v>2183</v>
      </c>
      <c r="D11" s="2">
        <v>93</v>
      </c>
      <c r="E11" s="2">
        <v>7</v>
      </c>
      <c r="F11" s="3" t="str">
        <f>HYPERLINK("http://www.sah.co.rs/rub3c1-24vac.html?___store=serbian"," Pogledajte proizvod na sajtu -&gt;")</f>
        <v> Pogledajte proizvod na sajtu -&gt;</v>
      </c>
    </row>
    <row r="12" spans="1:6" ht="12.75">
      <c r="A12" s="2">
        <v>11</v>
      </c>
      <c r="B12" t="s">
        <v>2184</v>
      </c>
      <c r="C12" t="s">
        <v>2185</v>
      </c>
      <c r="D12" s="2">
        <v>197</v>
      </c>
      <c r="E12" s="2">
        <v>5.5</v>
      </c>
      <c r="F12" s="3" t="str">
        <f>HYPERLINK("http://www.sah.co.rs/rub3c1-24vdc.html?___store=serbian"," Pogledajte proizvod na sajtu -&gt;")</f>
        <v> Pogledajte proizvod na sajtu -&gt;</v>
      </c>
    </row>
    <row r="13" spans="1:6" ht="12.75">
      <c r="A13" s="2">
        <v>12</v>
      </c>
      <c r="B13" t="s">
        <v>2186</v>
      </c>
      <c r="C13" t="s">
        <v>2187</v>
      </c>
      <c r="D13" s="2">
        <v>426</v>
      </c>
      <c r="E13" s="2">
        <v>2.2</v>
      </c>
      <c r="F13" s="3" t="str">
        <f>HYPERLINK("http://www.sah.co.rs/57-04-220vac.html?___store=serbian"," Pogledajte proizvod na sajtu -&gt;")</f>
        <v> Pogledajte proizvod na sajtu -&gt;</v>
      </c>
    </row>
    <row r="14" spans="1:6" ht="12.75">
      <c r="A14" s="2">
        <v>13</v>
      </c>
      <c r="B14" t="s">
        <v>2188</v>
      </c>
      <c r="C14" t="s">
        <v>2189</v>
      </c>
      <c r="D14" s="2">
        <v>270</v>
      </c>
      <c r="E14" s="2">
        <v>2.2</v>
      </c>
      <c r="F14" s="3" t="str">
        <f>HYPERLINK("http://www.sah.co.rs/57-04-24vdc.html?___store=serbian"," Pogledajte proizvod na sajtu -&gt;")</f>
        <v> Pogledajte proizvod na sajtu -&gt;</v>
      </c>
    </row>
    <row r="15" spans="1:6" ht="12.75">
      <c r="A15" s="2">
        <v>14</v>
      </c>
      <c r="B15" t="s">
        <v>2190</v>
      </c>
      <c r="C15" t="s">
        <v>2191</v>
      </c>
      <c r="D15" s="2">
        <v>114</v>
      </c>
      <c r="E15" s="2">
        <v>2</v>
      </c>
      <c r="F15" s="3" t="str">
        <f>HYPERLINK("http://www.sah.co.rs/my4-12vdc.html?___store=serbian"," Pogledajte proizvod na sajtu -&gt;")</f>
        <v> Pogledajte proizvod na sajtu -&gt;</v>
      </c>
    </row>
    <row r="16" spans="1:6" ht="12.75">
      <c r="A16" s="2">
        <v>15</v>
      </c>
      <c r="B16" t="s">
        <v>2192</v>
      </c>
      <c r="C16" t="s">
        <v>2193</v>
      </c>
      <c r="D16" s="2">
        <v>198</v>
      </c>
      <c r="E16" s="2">
        <v>2.1</v>
      </c>
      <c r="F16" s="3" t="str">
        <f>HYPERLINK("http://www.sah.co.rs/my4-220vac.html?___store=serbian"," Pogledajte proizvod na sajtu -&gt;")</f>
        <v> Pogledajte proizvod na sajtu -&gt;</v>
      </c>
    </row>
    <row r="17" spans="1:6" ht="12.75">
      <c r="A17" s="2">
        <v>16</v>
      </c>
      <c r="B17" t="s">
        <v>2194</v>
      </c>
      <c r="C17" t="s">
        <v>2195</v>
      </c>
      <c r="D17" s="2">
        <v>45</v>
      </c>
      <c r="E17" s="2">
        <v>2</v>
      </c>
      <c r="F17" s="3" t="str">
        <f>HYPERLINK("http://www.sah.co.rs/my4-24vac.html?___store=serbian"," Pogledajte proizvod na sajtu -&gt;")</f>
        <v> Pogledajte proizvod na sajtu -&gt;</v>
      </c>
    </row>
    <row r="18" spans="1:6" ht="12.75">
      <c r="A18" s="2">
        <v>17</v>
      </c>
      <c r="B18" t="s">
        <v>2196</v>
      </c>
      <c r="C18" t="s">
        <v>2197</v>
      </c>
      <c r="D18" s="2">
        <v>284</v>
      </c>
      <c r="E18" s="2">
        <v>2</v>
      </c>
      <c r="F18" s="3" t="str">
        <f>HYPERLINK("http://www.sah.co.rs/my4-24vdc.html?___store=serbian"," Pogledajte proizvod na sajtu -&gt;")</f>
        <v> Pogledajte proizvod na sajtu -&gt;</v>
      </c>
    </row>
    <row r="19" spans="1:6" ht="12.75">
      <c r="A19" s="2">
        <v>18</v>
      </c>
      <c r="B19" t="s">
        <v>2198</v>
      </c>
      <c r="C19" t="s">
        <v>2199</v>
      </c>
      <c r="D19" s="2">
        <v>192</v>
      </c>
      <c r="E19" s="2">
        <v>4</v>
      </c>
      <c r="F19" s="3" t="str">
        <f>HYPERLINK("http://www.sah.co.rs/rke4co-220vac.html?___store=serbian"," Pogledajte proizvod na sajtu -&gt;")</f>
        <v> Pogledajte proizvod na sajtu -&gt;</v>
      </c>
    </row>
    <row r="20" spans="1:6" ht="12.75">
      <c r="A20" s="2">
        <v>19</v>
      </c>
      <c r="B20" t="s">
        <v>2200</v>
      </c>
      <c r="C20" t="s">
        <v>2201</v>
      </c>
      <c r="D20" s="2">
        <v>77</v>
      </c>
      <c r="E20" s="2">
        <v>4.2</v>
      </c>
      <c r="F20" s="3" t="str">
        <f>HYPERLINK("http://www.sah.co.rs/rke4co-24vac.html?___store=serbian"," Pogledajte proizvod na sajtu -&gt;")</f>
        <v> Pogledajte proizvod na sajtu -&gt;</v>
      </c>
    </row>
    <row r="21" spans="1:6" ht="12.75">
      <c r="A21" s="2">
        <v>20</v>
      </c>
      <c r="B21" t="s">
        <v>2202</v>
      </c>
      <c r="C21" t="s">
        <v>2203</v>
      </c>
      <c r="D21" s="2">
        <v>241</v>
      </c>
      <c r="E21" s="2">
        <v>3.6</v>
      </c>
      <c r="F21" s="3" t="str">
        <f>HYPERLINK("http://www.sah.co.rs/rke4co-24vdc.html?___store=serbian"," Pogledajte proizvod na sajtu -&gt;")</f>
        <v> Pogledajte proizvod na sajtu -&gt;</v>
      </c>
    </row>
    <row r="22" spans="1:6" ht="12.75">
      <c r="A22" s="2">
        <v>21</v>
      </c>
      <c r="B22" t="s">
        <v>2204</v>
      </c>
      <c r="C22" t="s">
        <v>2205</v>
      </c>
      <c r="D22" s="2">
        <v>1</v>
      </c>
      <c r="E22" s="2">
        <v>2.7</v>
      </c>
      <c r="F22" s="3" t="str">
        <f>HYPERLINK("http://www.sah.co.rs/70-02-220vac.html?___store=serbian"," Pogledajte proizvod na sajtu -&gt;")</f>
        <v> Pogledajte proizvod na sajtu -&gt;</v>
      </c>
    </row>
    <row r="23" spans="1:6" ht="12.75">
      <c r="A23" s="2">
        <v>22</v>
      </c>
      <c r="B23" t="s">
        <v>2206</v>
      </c>
      <c r="C23" t="s">
        <v>2205</v>
      </c>
      <c r="D23" s="2">
        <v>405</v>
      </c>
      <c r="E23" s="2">
        <v>2.5</v>
      </c>
      <c r="F23" s="3" t="str">
        <f>HYPERLINK("http://www.sah.co.rs/58-02-220vac.html?___store=serbian"," Pogledajte proizvod na sajtu -&gt;")</f>
        <v> Pogledajte proizvod na sajtu -&gt;</v>
      </c>
    </row>
    <row r="24" spans="1:6" ht="12.75">
      <c r="A24" s="2">
        <v>23</v>
      </c>
      <c r="B24" t="s">
        <v>2207</v>
      </c>
      <c r="C24" t="s">
        <v>2205</v>
      </c>
      <c r="D24" s="2">
        <v>4</v>
      </c>
      <c r="E24" s="2">
        <v>3.5</v>
      </c>
      <c r="F24" s="3" t="str">
        <f>HYPERLINK("http://www.sah.co.rs/mk2p5-i-220vac.html?___store=serbian"," Pogledajte proizvod na sajtu -&gt;")</f>
        <v> Pogledajte proizvod na sajtu -&gt;</v>
      </c>
    </row>
    <row r="25" spans="1:6" ht="12.75">
      <c r="A25" s="2">
        <v>24</v>
      </c>
      <c r="B25" t="s">
        <v>2208</v>
      </c>
      <c r="C25" t="s">
        <v>2209</v>
      </c>
      <c r="D25" s="2">
        <v>34</v>
      </c>
      <c r="E25" s="2">
        <v>3.5</v>
      </c>
      <c r="F25" s="3" t="str">
        <f>HYPERLINK("http://www.sah.co.rs/mk2p5-i-24vdc.html?___store=serbian"," Pogledajte proizvod na sajtu -&gt;")</f>
        <v> Pogledajte proizvod na sajtu -&gt;</v>
      </c>
    </row>
    <row r="26" spans="1:6" ht="12.75">
      <c r="A26" s="2">
        <v>25</v>
      </c>
      <c r="B26" t="s">
        <v>2210</v>
      </c>
      <c r="C26" t="s">
        <v>2209</v>
      </c>
      <c r="D26" s="2">
        <v>165</v>
      </c>
      <c r="E26" s="2">
        <v>2.7</v>
      </c>
      <c r="F26" s="3" t="str">
        <f>HYPERLINK("http://www.sah.co.rs/70-02-24vdc.html?___store=serbian"," Pogledajte proizvod na sajtu -&gt;")</f>
        <v> Pogledajte proizvod na sajtu -&gt;</v>
      </c>
    </row>
    <row r="27" spans="1:6" ht="12.75">
      <c r="A27" s="2">
        <v>26</v>
      </c>
      <c r="B27" t="s">
        <v>2211</v>
      </c>
      <c r="C27" t="s">
        <v>2209</v>
      </c>
      <c r="D27" s="2">
        <v>119</v>
      </c>
      <c r="E27" s="2">
        <v>2.5</v>
      </c>
      <c r="F27" s="3" t="str">
        <f>HYPERLINK("http://www.sah.co.rs/58-02-24vdc.html?___store=serbian"," Pogledajte proizvod na sajtu -&gt;")</f>
        <v> Pogledajte proizvod na sajtu -&gt;</v>
      </c>
    </row>
    <row r="28" spans="1:6" ht="12.75">
      <c r="A28" s="2">
        <v>27</v>
      </c>
      <c r="B28" t="s">
        <v>2212</v>
      </c>
      <c r="C28" t="s">
        <v>2213</v>
      </c>
      <c r="D28" s="2">
        <v>214</v>
      </c>
      <c r="E28" s="2">
        <v>2.5</v>
      </c>
      <c r="F28" s="3" t="str">
        <f>HYPERLINK("http://www.sah.co.rs/jqx-13f-kf2cl-220vac.html?___store=serbian"," Pogledajte proizvod na sajtu -&gt;")</f>
        <v> Pogledajte proizvod na sajtu -&gt;</v>
      </c>
    </row>
    <row r="29" spans="1:6" ht="12.75">
      <c r="A29" s="2">
        <v>28</v>
      </c>
      <c r="B29" t="s">
        <v>2214</v>
      </c>
      <c r="C29" t="s">
        <v>2213</v>
      </c>
      <c r="D29" s="2">
        <v>103</v>
      </c>
      <c r="E29" s="2">
        <v>4</v>
      </c>
      <c r="F29" s="3" t="str">
        <f>HYPERLINK("http://www.sah.co.rs/jqx-14fc-2c-220vac.html?___store=serbian"," Pogledajte proizvod na sajtu -&gt;")</f>
        <v> Pogledajte proizvod na sajtu -&gt;</v>
      </c>
    </row>
    <row r="30" spans="1:6" ht="12.75">
      <c r="A30" s="2">
        <v>29</v>
      </c>
      <c r="B30" t="s">
        <v>2215</v>
      </c>
      <c r="C30" t="s">
        <v>2213</v>
      </c>
      <c r="D30" s="2">
        <v>195</v>
      </c>
      <c r="E30" s="2">
        <v>3.2</v>
      </c>
      <c r="F30" s="3" t="str">
        <f>HYPERLINK("http://www.sah.co.rs/jqx-14fc-2z-220vac.html?___store=serbian"," Pogledajte proizvod na sajtu -&gt;")</f>
        <v> Pogledajte proizvod na sajtu -&gt;</v>
      </c>
    </row>
    <row r="31" spans="1:6" ht="12.75">
      <c r="A31" s="2">
        <v>30</v>
      </c>
      <c r="B31" t="s">
        <v>2216</v>
      </c>
      <c r="C31" t="s">
        <v>2213</v>
      </c>
      <c r="D31" s="2">
        <v>371</v>
      </c>
      <c r="E31" s="2">
        <v>2.2</v>
      </c>
      <c r="F31" s="3" t="str">
        <f>HYPERLINK("http://www.sah.co.rs/57-02-220vac.html?___store=serbian"," Pogledajte proizvod na sajtu -&gt;")</f>
        <v> Pogledajte proizvod na sajtu -&gt;</v>
      </c>
    </row>
    <row r="32" spans="1:6" ht="12.75">
      <c r="A32" s="2">
        <v>31</v>
      </c>
      <c r="B32" t="s">
        <v>2217</v>
      </c>
      <c r="C32" t="s">
        <v>2218</v>
      </c>
      <c r="D32" s="2">
        <v>182</v>
      </c>
      <c r="E32" s="2">
        <v>2.2</v>
      </c>
      <c r="F32" s="3" t="str">
        <f>HYPERLINK("http://www.sah.co.rs/57-02-24vdc.html?___store=serbian"," Pogledajte proizvod na sajtu -&gt;")</f>
        <v> Pogledajte proizvod na sajtu -&gt;</v>
      </c>
    </row>
    <row r="33" spans="1:6" ht="12.75">
      <c r="A33" s="2">
        <v>32</v>
      </c>
      <c r="B33" t="s">
        <v>2219</v>
      </c>
      <c r="C33" t="s">
        <v>2218</v>
      </c>
      <c r="D33" s="2">
        <v>154</v>
      </c>
      <c r="E33" s="2">
        <v>2</v>
      </c>
      <c r="F33" s="3" t="str">
        <f>HYPERLINK("http://www.sah.co.rs/jqx-14fc-2c-24vdc.html?___store=serbian"," Pogledajte proizvod na sajtu -&gt;")</f>
        <v> Pogledajte proizvod na sajtu -&gt;</v>
      </c>
    </row>
    <row r="34" spans="1:6" ht="12.75">
      <c r="A34" s="2">
        <v>33</v>
      </c>
      <c r="B34" t="s">
        <v>2220</v>
      </c>
      <c r="C34" t="s">
        <v>2218</v>
      </c>
      <c r="D34" s="2">
        <v>59</v>
      </c>
      <c r="E34" s="2">
        <v>1.7</v>
      </c>
      <c r="F34" s="3" t="str">
        <f>HYPERLINK("http://www.sah.co.rs/jqx-14fc-2z-24vdc.html?___store=serbian"," Pogledajte proizvod na sajtu -&gt;")</f>
        <v> Pogledajte proizvod na sajtu -&gt;</v>
      </c>
    </row>
    <row r="35" spans="1:6" ht="12.75">
      <c r="A35" s="2">
        <v>34</v>
      </c>
      <c r="B35" t="s">
        <v>2221</v>
      </c>
      <c r="C35" t="s">
        <v>2222</v>
      </c>
      <c r="D35" s="2">
        <v>225</v>
      </c>
      <c r="E35" s="2">
        <v>2</v>
      </c>
      <c r="F35" s="3" t="str">
        <f>HYPERLINK("http://www.sah.co.rs/my2-12vdc.html?___store=serbian"," Pogledajte proizvod na sajtu -&gt;")</f>
        <v> Pogledajte proizvod na sajtu -&gt;</v>
      </c>
    </row>
    <row r="36" spans="1:6" ht="12.75">
      <c r="A36" s="2">
        <v>35</v>
      </c>
      <c r="B36" t="s">
        <v>2223</v>
      </c>
      <c r="C36" t="s">
        <v>2224</v>
      </c>
      <c r="D36" s="2">
        <v>455</v>
      </c>
      <c r="E36" s="2">
        <v>2.1</v>
      </c>
      <c r="F36" s="3" t="str">
        <f>HYPERLINK("http://www.sah.co.rs/my2-220vac.html?___store=serbian"," Pogledajte proizvod na sajtu -&gt;")</f>
        <v> Pogledajte proizvod na sajtu -&gt;</v>
      </c>
    </row>
    <row r="37" spans="1:6" ht="12.75">
      <c r="A37" s="2">
        <v>36</v>
      </c>
      <c r="B37" t="s">
        <v>2225</v>
      </c>
      <c r="C37" t="s">
        <v>2226</v>
      </c>
      <c r="D37" s="2">
        <v>105</v>
      </c>
      <c r="E37" s="2">
        <v>2</v>
      </c>
      <c r="F37" s="3" t="str">
        <f>HYPERLINK("http://www.sah.co.rs/my2-24vac.html?___store=serbian"," Pogledajte proizvod na sajtu -&gt;")</f>
        <v> Pogledajte proizvod na sajtu -&gt;</v>
      </c>
    </row>
    <row r="38" spans="1:6" ht="12.75">
      <c r="A38" s="2">
        <v>37</v>
      </c>
      <c r="B38" t="s">
        <v>2227</v>
      </c>
      <c r="C38" t="s">
        <v>2228</v>
      </c>
      <c r="D38" s="2">
        <v>518</v>
      </c>
      <c r="E38" s="2">
        <v>2</v>
      </c>
      <c r="F38" s="3" t="str">
        <f>HYPERLINK("http://www.sah.co.rs/my2-24vdc.html?___store=serbian"," Pogledajte proizvod na sajtu -&gt;")</f>
        <v> Pogledajte proizvod na sajtu -&gt;</v>
      </c>
    </row>
    <row r="39" spans="1:6" ht="12.75">
      <c r="A39" s="2">
        <v>38</v>
      </c>
      <c r="B39" t="s">
        <v>2229</v>
      </c>
      <c r="C39" t="s">
        <v>2230</v>
      </c>
      <c r="D39" s="2">
        <v>181</v>
      </c>
      <c r="E39" s="2">
        <v>1.5</v>
      </c>
      <c r="F39" s="3" t="str">
        <f>HYPERLINK("http://www.sah.co.rs/jqx-115f-2z-12vdc.html?___store=serbian"," Pogledajte proizvod na sajtu -&gt;")</f>
        <v> Pogledajte proizvod na sajtu -&gt;</v>
      </c>
    </row>
    <row r="40" spans="1:6" ht="12.75">
      <c r="A40" s="2">
        <v>39</v>
      </c>
      <c r="B40" t="s">
        <v>2231</v>
      </c>
      <c r="C40" t="s">
        <v>2232</v>
      </c>
      <c r="D40" s="2">
        <v>94</v>
      </c>
      <c r="E40" s="2">
        <v>1.5</v>
      </c>
      <c r="F40" s="3" t="str">
        <f>HYPERLINK("http://www.sah.co.rs/jqx-115f-2z-24vdc.html?___store=serbian"," Pogledajte proizvod na sajtu -&gt;")</f>
        <v> Pogledajte proizvod na sajtu -&gt;</v>
      </c>
    </row>
    <row r="41" spans="1:6" ht="12.75">
      <c r="A41" s="2">
        <v>40</v>
      </c>
      <c r="B41" t="s">
        <v>2233</v>
      </c>
      <c r="C41" t="s">
        <v>2234</v>
      </c>
      <c r="D41" s="2">
        <v>473</v>
      </c>
      <c r="E41" s="2">
        <v>4</v>
      </c>
      <c r="F41" s="3" t="str">
        <f>HYPERLINK("http://www.sah.co.rs/rft2co-220vac.html?___store=serbian"," Pogledajte proizvod na sajtu -&gt;")</f>
        <v> Pogledajte proizvod na sajtu -&gt;</v>
      </c>
    </row>
    <row r="42" spans="1:6" ht="12.75">
      <c r="A42" s="2">
        <v>41</v>
      </c>
      <c r="B42" t="s">
        <v>2235</v>
      </c>
      <c r="C42" t="s">
        <v>2236</v>
      </c>
      <c r="D42" s="2">
        <v>175</v>
      </c>
      <c r="E42" s="2">
        <v>4.2</v>
      </c>
      <c r="F42" s="3" t="str">
        <f>HYPERLINK("http://www.sah.co.rs/rft2co-24vac.html?___store=serbian"," Pogledajte proizvod na sajtu -&gt;")</f>
        <v> Pogledajte proizvod na sajtu -&gt;</v>
      </c>
    </row>
    <row r="43" spans="1:6" ht="12.75">
      <c r="A43" s="2">
        <v>42</v>
      </c>
      <c r="B43" t="s">
        <v>2237</v>
      </c>
      <c r="C43" t="s">
        <v>2238</v>
      </c>
      <c r="D43" s="2">
        <v>306</v>
      </c>
      <c r="E43" s="2">
        <v>3</v>
      </c>
      <c r="F43" s="3" t="str">
        <f>HYPERLINK("http://www.sah.co.rs/rft2co-24vdc.html?___store=serbian"," Pogledajte proizvod na sajtu -&gt;")</f>
        <v> Pogledajte proizvod na sajtu -&gt;</v>
      </c>
    </row>
    <row r="44" spans="1:6" ht="12.75">
      <c r="A44" s="2">
        <v>43</v>
      </c>
      <c r="B44" t="s">
        <v>2239</v>
      </c>
      <c r="C44" t="s">
        <v>2240</v>
      </c>
      <c r="D44" s="2">
        <v>46</v>
      </c>
      <c r="E44" s="2">
        <v>3</v>
      </c>
      <c r="F44" s="3" t="str">
        <f>HYPERLINK("http://www.sah.co.rs/rke2co-24vdc.html?___store=serbian"," Pogledajte proizvod na sajtu -&gt;")</f>
        <v> Pogledajte proizvod na sajtu -&gt;</v>
      </c>
    </row>
    <row r="45" spans="1:6" ht="12.75">
      <c r="A45" s="2">
        <v>44</v>
      </c>
      <c r="B45" t="s">
        <v>2241</v>
      </c>
      <c r="C45" t="s">
        <v>2242</v>
      </c>
      <c r="D45" s="2">
        <v>819</v>
      </c>
      <c r="E45" s="2">
        <v>7.5</v>
      </c>
      <c r="F45" s="3" t="str">
        <f>HYPERLINK("http://www.sah.co.rs/jqx-76f-bld-2a-220vac.html?___store=serbian"," Pogledajte proizvod na sajtu -&gt;")</f>
        <v> Pogledajte proizvod na sajtu -&gt;</v>
      </c>
    </row>
    <row r="46" spans="1:6" ht="12.75">
      <c r="A46" s="2">
        <v>45</v>
      </c>
      <c r="B46" t="s">
        <v>2243</v>
      </c>
      <c r="C46" t="s">
        <v>2244</v>
      </c>
      <c r="D46" s="2">
        <v>111</v>
      </c>
      <c r="E46" s="2">
        <v>6.5</v>
      </c>
      <c r="F46" s="3" t="str">
        <f>HYPERLINK("http://www.sah.co.rs/jqx-76f-bld-2a-24vdc.html?___store=serbian"," Pogledajte proizvod na sajtu -&gt;")</f>
        <v> Pogledajte proizvod na sajtu -&gt;</v>
      </c>
    </row>
    <row r="47" spans="1:6" ht="12.75">
      <c r="A47" s="2">
        <v>46</v>
      </c>
      <c r="B47" t="s">
        <v>2245</v>
      </c>
      <c r="C47" t="s">
        <v>2246</v>
      </c>
      <c r="D47" s="2">
        <v>341</v>
      </c>
      <c r="E47" s="2">
        <v>3.2</v>
      </c>
      <c r="F47" s="3" t="str">
        <f>HYPERLINK("http://www.sah.co.rs/jqx-14fc-1z-220vac.html?___store=serbian"," Pogledajte proizvod na sajtu -&gt;")</f>
        <v> Pogledajte proizvod na sajtu -&gt;</v>
      </c>
    </row>
    <row r="48" spans="1:6" ht="12.75">
      <c r="A48" s="2">
        <v>47</v>
      </c>
      <c r="B48" t="s">
        <v>2247</v>
      </c>
      <c r="C48" t="s">
        <v>2246</v>
      </c>
      <c r="D48" s="2">
        <v>243</v>
      </c>
      <c r="E48" s="2">
        <v>3</v>
      </c>
      <c r="F48" s="3" t="str">
        <f>HYPERLINK("http://www.sah.co.rs/rft1co-220vac.html?___store=serbian"," Pogledajte proizvod na sajtu -&gt;")</f>
        <v> Pogledajte proizvod na sajtu -&gt;</v>
      </c>
    </row>
    <row r="49" spans="1:6" ht="12.75">
      <c r="A49" s="2">
        <v>48</v>
      </c>
      <c r="B49" t="s">
        <v>2248</v>
      </c>
      <c r="C49" t="s">
        <v>2246</v>
      </c>
      <c r="D49" s="2">
        <v>280</v>
      </c>
      <c r="E49" s="2">
        <v>1.7</v>
      </c>
      <c r="F49" s="3" t="str">
        <f>HYPERLINK("http://www.sah.co.rs/jqx-14fc-1z-3-5-220vac.html?___store=serbian"," Pogledajte proizvod na sajtu -&gt;")</f>
        <v> Pogledajte proizvod na sajtu -&gt;</v>
      </c>
    </row>
    <row r="50" spans="1:6" ht="12.75">
      <c r="A50" s="2">
        <v>49</v>
      </c>
      <c r="B50" t="s">
        <v>2249</v>
      </c>
      <c r="C50" t="s">
        <v>2250</v>
      </c>
      <c r="D50" s="2">
        <v>146</v>
      </c>
      <c r="E50" s="2">
        <v>4</v>
      </c>
      <c r="F50" s="3" t="str">
        <f>HYPERLINK("http://www.sah.co.rs/rft1co-24vac.html?___store=serbian"," Pogledajte proizvod na sajtu -&gt;")</f>
        <v> Pogledajte proizvod na sajtu -&gt;</v>
      </c>
    </row>
    <row r="51" spans="1:6" ht="12.75">
      <c r="A51" s="2">
        <v>50</v>
      </c>
      <c r="B51" t="s">
        <v>2251</v>
      </c>
      <c r="C51" t="s">
        <v>2252</v>
      </c>
      <c r="D51" s="2">
        <v>65</v>
      </c>
      <c r="E51" s="2">
        <v>1.7</v>
      </c>
      <c r="F51" s="3" t="str">
        <f>HYPERLINK("http://www.sah.co.rs/jqx-14fc-1z-24vdc.html?___store=serbian"," Pogledajte proizvod na sajtu -&gt;")</f>
        <v> Pogledajte proizvod na sajtu -&gt;</v>
      </c>
    </row>
    <row r="52" spans="1:6" ht="12.75">
      <c r="A52" s="2">
        <v>51</v>
      </c>
      <c r="B52" t="s">
        <v>2253</v>
      </c>
      <c r="C52" t="s">
        <v>2252</v>
      </c>
      <c r="D52" s="2">
        <v>164</v>
      </c>
      <c r="E52" s="2">
        <v>2.5</v>
      </c>
      <c r="F52" s="3" t="str">
        <f>HYPERLINK("http://www.sah.co.rs/rft1co-24vdc.html?___store=serbian"," Pogledajte proizvod na sajtu -&gt;")</f>
        <v> Pogledajte proizvod na sajtu -&gt;</v>
      </c>
    </row>
    <row r="53" spans="1:6" ht="12.75">
      <c r="A53" s="2">
        <v>52</v>
      </c>
      <c r="B53" t="s">
        <v>2254</v>
      </c>
      <c r="C53" t="s">
        <v>2255</v>
      </c>
      <c r="D53" s="2">
        <v>1</v>
      </c>
      <c r="E53" s="2">
        <v>1</v>
      </c>
      <c r="F53" s="3" t="str">
        <f>HYPERLINK("http://www.sah.co.rs/jqx-115f-1z-12vdc.html?___store=serbian"," Pogledajte proizvod na sajtu -&gt;")</f>
        <v> Pogledajte proizvod na sajtu -&gt;</v>
      </c>
    </row>
    <row r="54" spans="1:6" ht="12.75">
      <c r="A54" s="2">
        <v>53</v>
      </c>
      <c r="B54" t="s">
        <v>2256</v>
      </c>
      <c r="C54" t="s">
        <v>2257</v>
      </c>
      <c r="D54" s="2">
        <v>0</v>
      </c>
      <c r="E54" s="2">
        <v>1.5</v>
      </c>
      <c r="F54" s="3" t="str">
        <f>HYPERLINK("http://www.sah.co.rs/jqx-115f-1z-24vdc.html?___store=serbian"," Pogledajte proizvod na sajtu -&gt;")</f>
        <v> Pogledajte proizvod na sajtu -&gt;</v>
      </c>
    </row>
    <row r="55" spans="1:6" ht="12.75">
      <c r="A55" s="2">
        <v>54</v>
      </c>
      <c r="B55" t="s">
        <v>2258</v>
      </c>
      <c r="C55" t="s">
        <v>2259</v>
      </c>
      <c r="D55" s="2">
        <v>225</v>
      </c>
      <c r="E55" s="2">
        <v>3.8</v>
      </c>
      <c r="F55" s="3" t="str">
        <f>HYPERLINK("http://www.sah.co.rs/rnc1co-24vdc.html?___store=serbian"," Pogledajte proizvod na sajtu -&gt;")</f>
        <v> Pogledajte proizvod na sajtu -&gt;</v>
      </c>
    </row>
    <row r="56" spans="1:6" ht="12.75">
      <c r="A56" s="2">
        <v>55</v>
      </c>
      <c r="B56" t="s">
        <v>2260</v>
      </c>
      <c r="C56" t="s">
        <v>2261</v>
      </c>
      <c r="D56" s="2">
        <v>210</v>
      </c>
      <c r="E56" s="2">
        <v>8</v>
      </c>
      <c r="F56" s="3" t="str">
        <f>HYPERLINK("http://www.sah.co.rs/rnc1co-60vdc.html?___store=serbian","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6.7109375" style="0" customWidth="1"/>
    <col min="3" max="3" width="73.4218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2262</v>
      </c>
      <c r="C2" t="s">
        <v>2263</v>
      </c>
      <c r="D2" s="2">
        <v>3640</v>
      </c>
      <c r="E2" s="2">
        <v>0.15</v>
      </c>
      <c r="F2" s="3" t="str">
        <f>HYPERLINK("http://www.sah.co.rs/sy36s.html?___store=serbian"," Pogledajte proizvod na sajtu -&gt;")</f>
        <v> Pogledajte proizvod na sajtu -&gt;</v>
      </c>
    </row>
    <row r="3" spans="1:6" ht="12.75">
      <c r="A3" s="2">
        <v>2</v>
      </c>
      <c r="B3" t="s">
        <v>2264</v>
      </c>
      <c r="C3" t="s">
        <v>2265</v>
      </c>
      <c r="D3" s="2">
        <v>2000</v>
      </c>
      <c r="E3" s="2">
        <v>0.25</v>
      </c>
      <c r="F3" s="3" t="str">
        <f>HYPERLINK("http://www.sah.co.rs/k25c.html?___store=serbian"," Pogledajte proizvod na sajtu -&gt;")</f>
        <v> Pogledajte proizvod na sajtu -&gt;</v>
      </c>
    </row>
    <row r="4" spans="1:6" ht="12.75">
      <c r="A4" s="2">
        <v>3</v>
      </c>
      <c r="B4" t="s">
        <v>2266</v>
      </c>
      <c r="C4" t="s">
        <v>2267</v>
      </c>
      <c r="D4" s="2">
        <v>1970</v>
      </c>
      <c r="E4" s="2">
        <v>0.25</v>
      </c>
      <c r="F4" s="3" t="str">
        <f>HYPERLINK("http://www.sah.co.rs/su52m.html?___store=serbian"," Pogledajte proizvod na sajtu -&gt;")</f>
        <v> Pogledajte proizvod na sajtu -&gt;</v>
      </c>
    </row>
    <row r="5" spans="1:6" ht="12.75">
      <c r="A5" s="2">
        <v>4</v>
      </c>
      <c r="B5" t="s">
        <v>2268</v>
      </c>
      <c r="C5" t="s">
        <v>2269</v>
      </c>
      <c r="D5" s="2">
        <v>2845</v>
      </c>
      <c r="E5" s="2">
        <v>0.15</v>
      </c>
      <c r="F5" s="3" t="str">
        <f>HYPERLINK("http://www.sah.co.rs/sk36m.html?___store=serbian"," Pogledajte proizvod na sajtu -&gt;")</f>
        <v> Pogledajte proizvod na sajtu -&gt;</v>
      </c>
    </row>
    <row r="6" spans="1:6" ht="12.75">
      <c r="A6" s="2">
        <v>5</v>
      </c>
      <c r="B6" t="s">
        <v>2270</v>
      </c>
      <c r="C6" t="s">
        <v>2271</v>
      </c>
      <c r="D6" s="2">
        <v>930</v>
      </c>
      <c r="E6" s="2">
        <v>0.15</v>
      </c>
      <c r="F6" s="3" t="str">
        <f>HYPERLINK("http://www.sah.co.rs/sk28l.html?___store=serbian"," Pogledajte proizvod na sajtu -&gt;")</f>
        <v> Pogledajte proizvod na sajtu -&gt;</v>
      </c>
    </row>
    <row r="7" spans="1:6" ht="12.75">
      <c r="A7" s="2">
        <v>6</v>
      </c>
      <c r="B7" t="s">
        <v>2272</v>
      </c>
      <c r="C7" t="s">
        <v>2271</v>
      </c>
      <c r="D7" s="2">
        <v>4700</v>
      </c>
      <c r="E7" s="2">
        <v>0.15</v>
      </c>
      <c r="F7" s="3" t="str">
        <f>HYPERLINK("http://www.sah.co.rs/sk36f.html?___store=serbian"," Pogledajte proizvod na sajtu -&gt;")</f>
        <v> Pogledajte proizvod na sajtu -&gt;</v>
      </c>
    </row>
    <row r="8" spans="1:6" ht="12.75">
      <c r="A8" s="2">
        <v>7</v>
      </c>
      <c r="B8" t="s">
        <v>2273</v>
      </c>
      <c r="C8" t="s">
        <v>2274</v>
      </c>
      <c r="D8" s="2">
        <v>4080</v>
      </c>
      <c r="E8" s="2">
        <v>0.1</v>
      </c>
      <c r="F8" s="3" t="str">
        <f>HYPERLINK("http://www.sah.co.rs/sr20f.html?___store=serbian"," Pogledajte proizvod na sajtu -&gt;")</f>
        <v> Pogledajte proizvod na sajtu -&gt;</v>
      </c>
    </row>
    <row r="9" spans="1:6" ht="12.75">
      <c r="A9" s="2">
        <v>8</v>
      </c>
      <c r="B9" t="s">
        <v>2275</v>
      </c>
      <c r="C9" t="s">
        <v>2274</v>
      </c>
      <c r="D9" s="2">
        <v>5318</v>
      </c>
      <c r="E9" s="2">
        <v>0.1</v>
      </c>
      <c r="F9" s="3" t="str">
        <f>HYPERLINK("http://www.sah.co.rs/sr15l.html?___store=serbian"," Pogledajte proizvod na sajtu -&gt;")</f>
        <v> Pogledajte proizvod na sajtu -&gt;</v>
      </c>
    </row>
    <row r="10" spans="1:6" ht="12.75">
      <c r="A10" s="2">
        <v>9</v>
      </c>
      <c r="B10" t="s">
        <v>2276</v>
      </c>
      <c r="C10" t="s">
        <v>2277</v>
      </c>
      <c r="D10" s="2">
        <v>6876</v>
      </c>
      <c r="E10" s="2">
        <v>0.1</v>
      </c>
      <c r="F10" s="3" t="str">
        <f>HYPERLINK("http://www.sah.co.rs/sr25c.html?___store=serbian"," Pogledajte proizvod na sajtu -&gt;")</f>
        <v> Pogledajte proizvod na sajtu -&gt;</v>
      </c>
    </row>
    <row r="11" spans="1:6" ht="12.75">
      <c r="A11" s="2">
        <v>10</v>
      </c>
      <c r="B11" t="s">
        <v>2278</v>
      </c>
      <c r="C11" t="s">
        <v>2279</v>
      </c>
      <c r="D11" s="2">
        <v>1000</v>
      </c>
      <c r="E11" s="2">
        <v>0.2</v>
      </c>
      <c r="F11" s="3" t="str">
        <f>HYPERLINK("http://www.sah.co.rs/sr20u.html?___store=serbian"," Pogledajte proizvod na sajtu -&gt;")</f>
        <v> Pogledajte proizvod na sajtu -&gt;</v>
      </c>
    </row>
    <row r="12" spans="1:6" ht="12.75">
      <c r="A12" s="2">
        <v>11</v>
      </c>
      <c r="B12" t="s">
        <v>2280</v>
      </c>
      <c r="C12" t="s">
        <v>2281</v>
      </c>
      <c r="D12" s="2">
        <v>67</v>
      </c>
      <c r="E12" s="2">
        <v>1</v>
      </c>
      <c r="F12" s="3" t="str">
        <f>HYPERLINK("http://www.sah.co.rs/amd-ml1-220vac.html?___store=serbian"," Pogledajte proizvod na sajtu -&gt;")</f>
        <v> Pogledajte proizvod na sajtu -&gt;</v>
      </c>
    </row>
    <row r="13" spans="1:6" ht="12.75">
      <c r="A13" s="2">
        <v>12</v>
      </c>
      <c r="B13" t="s">
        <v>2282</v>
      </c>
      <c r="C13" t="s">
        <v>2281</v>
      </c>
      <c r="D13" s="2">
        <v>286</v>
      </c>
      <c r="E13" s="2">
        <v>0.6</v>
      </c>
      <c r="F13" s="3" t="str">
        <f>HYPERLINK("http://www.sah.co.rs/rtmlo-220vac.html?___store=serbian"," Pogledajte proizvod na sajtu -&gt;")</f>
        <v> Pogledajte proizvod na sajtu -&gt;</v>
      </c>
    </row>
    <row r="14" spans="1:6" ht="12.75">
      <c r="A14" s="2">
        <v>13</v>
      </c>
      <c r="B14" t="s">
        <v>2283</v>
      </c>
      <c r="C14" t="s">
        <v>2284</v>
      </c>
      <c r="D14" s="2">
        <v>316</v>
      </c>
      <c r="E14" s="2">
        <v>1</v>
      </c>
      <c r="F14" s="3" t="str">
        <f>HYPERLINK("http://www.sah.co.rs/rtmlo-24vdc.html?___store=serbian"," Pogledajte proizvod na sajtu -&gt;")</f>
        <v> Pogledajte proizvod na sajtu -&gt;</v>
      </c>
    </row>
    <row r="15" spans="1:6" ht="12.75">
      <c r="A15" s="2">
        <v>14</v>
      </c>
      <c r="B15" t="s">
        <v>2285</v>
      </c>
      <c r="C15" t="s">
        <v>2286</v>
      </c>
      <c r="D15" s="2">
        <v>3186</v>
      </c>
      <c r="E15" s="2">
        <v>0.12</v>
      </c>
      <c r="F15" s="3" t="str">
        <f>HYPERLINK("http://www.sah.co.rs/sk4p.html?___store=serbian"," Pogledajte proizvod na sajtu -&gt;")</f>
        <v> Pogledajte proizvod na sajtu -&gt;</v>
      </c>
    </row>
    <row r="16" spans="1:6" ht="12.75">
      <c r="A16" s="2">
        <v>15</v>
      </c>
      <c r="B16" t="s">
        <v>2287</v>
      </c>
      <c r="C16" t="s">
        <v>2288</v>
      </c>
      <c r="D16" s="2">
        <v>275</v>
      </c>
      <c r="E16" s="2">
        <v>0.12</v>
      </c>
      <c r="F16" s="3" t="str">
        <f>HYPERLINK("http://www.sah.co.rs/sr2p.html?___store=serbian"," Pogledajte proizvod na sajtu -&gt;")</f>
        <v> Pogledajte proizvod na sajtu -&gt;</v>
      </c>
    </row>
    <row r="17" spans="1:6" ht="12.75">
      <c r="A17" s="2">
        <v>16</v>
      </c>
      <c r="B17" t="s">
        <v>2289</v>
      </c>
      <c r="C17" t="s">
        <v>2290</v>
      </c>
      <c r="D17" s="2">
        <v>2390</v>
      </c>
      <c r="E17" s="2">
        <v>0.12</v>
      </c>
      <c r="F17" s="3" t="str">
        <f>HYPERLINK("http://www.sah.co.rs/su3p.html?___store=serbian"," Pogledajte proizvod na sajtu -&gt;")</f>
        <v> Pogledajte proizvod na sajtu -&gt;</v>
      </c>
    </row>
    <row r="18" spans="1:6" ht="12.75">
      <c r="A18" s="2">
        <v>17</v>
      </c>
      <c r="B18" t="s">
        <v>2291</v>
      </c>
      <c r="C18" t="s">
        <v>2292</v>
      </c>
      <c r="D18" s="2">
        <v>789</v>
      </c>
      <c r="E18" s="2">
        <v>0.9</v>
      </c>
      <c r="F18" s="3" t="str">
        <f>HYPERLINK("http://www.sah.co.rs/pyf11a.html?___store=serbian"," Pogledajte proizvod na sajtu -&gt;")</f>
        <v> Pogledajte proizvod na sajtu -&gt;</v>
      </c>
    </row>
    <row r="19" spans="1:6" ht="12.75">
      <c r="A19" s="2">
        <v>18</v>
      </c>
      <c r="B19" t="s">
        <v>2293</v>
      </c>
      <c r="C19" t="s">
        <v>2292</v>
      </c>
      <c r="D19" s="2">
        <v>105</v>
      </c>
      <c r="E19" s="2">
        <v>1.5</v>
      </c>
      <c r="F19" s="3" t="str">
        <f>HYPERLINK("http://www.sah.co.rs/as703.html?___store=serbian"," Pogledajte proizvod na sajtu -&gt;")</f>
        <v> Pogledajte proizvod na sajtu -&gt;</v>
      </c>
    </row>
    <row r="20" spans="1:6" ht="12.75">
      <c r="A20" s="2">
        <v>19</v>
      </c>
      <c r="B20" t="s">
        <v>2294</v>
      </c>
      <c r="C20" t="s">
        <v>2292</v>
      </c>
      <c r="D20" s="2">
        <v>161</v>
      </c>
      <c r="E20" s="2">
        <v>1.5</v>
      </c>
      <c r="F20" s="3" t="str">
        <f>HYPERLINK("http://www.sah.co.rs/rt703.html?___store=serbian"," Pogledajte proizvod na sajtu -&gt;")</f>
        <v> Pogledajte proizvod na sajtu -&gt;</v>
      </c>
    </row>
    <row r="21" spans="1:6" ht="12.75">
      <c r="A21" s="2">
        <v>20</v>
      </c>
      <c r="B21" t="s">
        <v>2295</v>
      </c>
      <c r="C21" t="s">
        <v>2292</v>
      </c>
      <c r="D21" s="2">
        <v>850</v>
      </c>
      <c r="E21" s="2">
        <v>2.5</v>
      </c>
      <c r="F21" s="3" t="str">
        <f>HYPERLINK("http://www.sah.co.rs/sub11-e.html?___store=serbian"," Pogledajte proizvod na sajtu -&gt;")</f>
        <v> Pogledajte proizvod na sajtu -&gt;</v>
      </c>
    </row>
    <row r="22" spans="1:6" ht="12.75">
      <c r="A22" s="2">
        <v>21</v>
      </c>
      <c r="B22" t="s">
        <v>2296</v>
      </c>
      <c r="C22" t="s">
        <v>2292</v>
      </c>
      <c r="D22" s="2">
        <v>937</v>
      </c>
      <c r="E22" s="2">
        <v>1</v>
      </c>
      <c r="F22" s="3" t="str">
        <f>HYPERLINK("http://www.sah.co.rs/pf113a-e.html?___store=serbian"," Pogledajte proizvod na sajtu -&gt;")</f>
        <v> Pogledajte proizvod na sajtu -&gt;</v>
      </c>
    </row>
    <row r="23" spans="1:6" ht="12.75">
      <c r="A23" s="2">
        <v>22</v>
      </c>
      <c r="B23" t="s">
        <v>2297</v>
      </c>
      <c r="C23" t="s">
        <v>2292</v>
      </c>
      <c r="D23" s="2">
        <v>421</v>
      </c>
      <c r="E23" s="2">
        <v>1.5</v>
      </c>
      <c r="F23" s="3" t="str">
        <f>HYPERLINK("http://www.sah.co.rs/as770.html?___store=serbian"," Pogledajte proizvod na sajtu -&gt;")</f>
        <v> Pogledajte proizvod na sajtu -&gt;</v>
      </c>
    </row>
    <row r="24" spans="1:6" ht="12.75">
      <c r="A24" s="2">
        <v>23</v>
      </c>
      <c r="B24" t="s">
        <v>2298</v>
      </c>
      <c r="C24" t="s">
        <v>2299</v>
      </c>
      <c r="D24" s="2">
        <v>429</v>
      </c>
      <c r="E24" s="2">
        <v>3</v>
      </c>
      <c r="F24" s="3" t="str">
        <f>HYPERLINK("http://www.sah.co.rs/skc14-e.html?___store=serbian"," Pogledajte proizvod na sajtu -&gt;")</f>
        <v> Pogledajte proizvod na sajtu -&gt;</v>
      </c>
    </row>
    <row r="25" spans="1:6" ht="12.75">
      <c r="A25" s="2">
        <v>24</v>
      </c>
      <c r="B25" t="s">
        <v>2300</v>
      </c>
      <c r="C25" t="s">
        <v>2299</v>
      </c>
      <c r="D25" s="2">
        <v>125</v>
      </c>
      <c r="E25" s="2">
        <v>1</v>
      </c>
      <c r="F25" s="3" t="str">
        <f>HYPERLINK("http://www.sah.co.rs/pyf14a.html?___store=serbian"," Pogledajte proizvod na sajtu -&gt;")</f>
        <v> Pogledajte proizvod na sajtu -&gt;</v>
      </c>
    </row>
    <row r="26" spans="1:6" ht="12.75">
      <c r="A26" s="2">
        <v>25</v>
      </c>
      <c r="B26" t="s">
        <v>2301</v>
      </c>
      <c r="C26" t="s">
        <v>2299</v>
      </c>
      <c r="D26" s="2">
        <v>749</v>
      </c>
      <c r="E26" s="2">
        <v>1.5</v>
      </c>
      <c r="F26" s="3" t="str">
        <f>HYPERLINK("http://www.sah.co.rs/as704.html?___store=serbian"," Pogledajte proizvod na sajtu -&gt;")</f>
        <v> Pogledajte proizvod na sajtu -&gt;</v>
      </c>
    </row>
    <row r="27" spans="1:6" ht="12.75">
      <c r="A27" s="2">
        <v>26</v>
      </c>
      <c r="B27" t="s">
        <v>2302</v>
      </c>
      <c r="C27" t="s">
        <v>2299</v>
      </c>
      <c r="D27" s="2">
        <v>92</v>
      </c>
      <c r="E27" s="2">
        <v>1.5</v>
      </c>
      <c r="F27" s="3" t="str">
        <f>HYPERLINK("http://www.sah.co.rs/rt704.html?___store=serbian"," Pogledajte proizvod na sajtu -&gt;")</f>
        <v> Pogledajte proizvod na sajtu -&gt;</v>
      </c>
    </row>
    <row r="28" spans="1:6" ht="12.75">
      <c r="A28" s="2">
        <v>27</v>
      </c>
      <c r="B28" t="s">
        <v>2303</v>
      </c>
      <c r="C28" t="s">
        <v>2304</v>
      </c>
      <c r="D28" s="2">
        <v>149</v>
      </c>
      <c r="E28" s="2">
        <v>2.2</v>
      </c>
      <c r="F28" s="3" t="str">
        <f>HYPERLINK("http://www.sah.co.rs/src08-e.html?___store=serbian"," Pogledajte proizvod na sajtu -&gt;")</f>
        <v> Pogledajte proizvod na sajtu -&gt;</v>
      </c>
    </row>
    <row r="29" spans="1:6" ht="12.75">
      <c r="A29" s="2">
        <v>28</v>
      </c>
      <c r="B29" t="s">
        <v>2305</v>
      </c>
      <c r="C29" t="s">
        <v>2304</v>
      </c>
      <c r="D29" s="2">
        <v>278</v>
      </c>
      <c r="E29" s="2">
        <v>1.5</v>
      </c>
      <c r="F29" s="3" t="str">
        <f>HYPERLINK("http://www.sah.co.rs/skf08-e.html?___store=serbian"," Pogledajte proizvod na sajtu -&gt;")</f>
        <v> Pogledajte proizvod na sajtu -&gt;</v>
      </c>
    </row>
    <row r="30" spans="1:6" ht="12.75">
      <c r="A30" s="2">
        <v>29</v>
      </c>
      <c r="B30" t="s">
        <v>2306</v>
      </c>
      <c r="C30" t="s">
        <v>2304</v>
      </c>
      <c r="D30" s="2">
        <v>349</v>
      </c>
      <c r="E30" s="2">
        <v>1.5</v>
      </c>
      <c r="F30" s="3" t="str">
        <f>HYPERLINK("http://www.sah.co.rs/as702.html?___store=serbian"," Pogledajte proizvod na sajtu -&gt;")</f>
        <v> Pogledajte proizvod na sajtu -&gt;</v>
      </c>
    </row>
    <row r="31" spans="1:6" ht="12.75">
      <c r="A31" s="2">
        <v>30</v>
      </c>
      <c r="B31" t="s">
        <v>2307</v>
      </c>
      <c r="C31" t="s">
        <v>2304</v>
      </c>
      <c r="D31" s="2">
        <v>131</v>
      </c>
      <c r="E31" s="2">
        <v>0.5</v>
      </c>
      <c r="F31" s="3" t="str">
        <f>HYPERLINK("http://www.sah.co.rs/p3g-08a.html?___store=serbian"," Pogledajte proizvod na sajtu -&gt;")</f>
        <v> Pogledajte proizvod na sajtu -&gt;</v>
      </c>
    </row>
    <row r="32" spans="1:6" ht="12.75">
      <c r="A32" s="2">
        <v>31</v>
      </c>
      <c r="B32" t="s">
        <v>2308</v>
      </c>
      <c r="C32" t="s">
        <v>2304</v>
      </c>
      <c r="D32" s="2">
        <v>843</v>
      </c>
      <c r="E32" s="2">
        <v>1.5</v>
      </c>
      <c r="F32" s="3" t="str">
        <f>HYPERLINK("http://www.sah.co.rs/rt626-b.html?___store=serbian"," Pogledajte proizvod na sajtu -&gt;")</f>
        <v> Pogledajte proizvod na sajtu -&gt;</v>
      </c>
    </row>
    <row r="33" spans="1:6" ht="12.75">
      <c r="A33" s="2">
        <v>32</v>
      </c>
      <c r="B33" t="s">
        <v>2309</v>
      </c>
      <c r="C33" t="s">
        <v>2304</v>
      </c>
      <c r="D33" s="2">
        <v>500</v>
      </c>
      <c r="E33" s="2">
        <v>1.5</v>
      </c>
      <c r="F33" s="3" t="str">
        <f>HYPERLINK("http://www.sah.co.rs/srt08-e.html?___store=serbian"," Pogledajte proizvod na sajtu -&gt;")</f>
        <v> Pogledajte proizvod na sajtu -&gt;</v>
      </c>
    </row>
    <row r="34" spans="1:6" ht="12.75">
      <c r="A34" s="2">
        <v>33</v>
      </c>
      <c r="B34" t="s">
        <v>2310</v>
      </c>
      <c r="C34" t="s">
        <v>2304</v>
      </c>
      <c r="D34" s="2">
        <v>617</v>
      </c>
      <c r="E34" s="2">
        <v>1.2</v>
      </c>
      <c r="F34" s="3" t="str">
        <f>HYPERLINK("http://www.sah.co.rs/ptf08a.html?___store=serbian"," Pogledajte proizvod na sajtu -&gt;")</f>
        <v> Pogledajte proizvod na sajtu -&gt;</v>
      </c>
    </row>
    <row r="35" spans="1:6" ht="12.75">
      <c r="A35" s="2">
        <v>34</v>
      </c>
      <c r="B35" t="s">
        <v>2311</v>
      </c>
      <c r="C35" t="s">
        <v>2304</v>
      </c>
      <c r="D35" s="2">
        <v>299</v>
      </c>
      <c r="E35" s="2">
        <v>1.5</v>
      </c>
      <c r="F35" s="3" t="str">
        <f>HYPERLINK("http://www.sah.co.rs/srb08-e.html?___store=serbian"," Pogledajte proizvod na sajtu -&gt;")</f>
        <v> Pogledajte proizvod na sajtu -&gt;</v>
      </c>
    </row>
    <row r="36" spans="1:6" ht="12.75">
      <c r="A36" s="2">
        <v>35</v>
      </c>
      <c r="B36" t="s">
        <v>2312</v>
      </c>
      <c r="C36" t="s">
        <v>2304</v>
      </c>
      <c r="D36" s="2">
        <v>186</v>
      </c>
      <c r="E36" s="2">
        <v>1.3</v>
      </c>
      <c r="F36" s="3" t="str">
        <f>HYPERLINK("http://www.sah.co.rs/as760.html?___store=serbian"," Pogledajte proizvod na sajtu -&gt;")</f>
        <v> Pogledajte proizvod na sajtu -&gt;</v>
      </c>
    </row>
    <row r="37" spans="1:6" ht="12.75">
      <c r="A37" s="2">
        <v>36</v>
      </c>
      <c r="B37" t="s">
        <v>2313</v>
      </c>
      <c r="C37" t="s">
        <v>2304</v>
      </c>
      <c r="D37" s="2">
        <v>489</v>
      </c>
      <c r="E37" s="2">
        <v>1.8</v>
      </c>
      <c r="F37" s="3" t="str">
        <f>HYPERLINK("http://www.sah.co.rs/sru08-e.html?___store=serbian"," Pogledajte proizvod na sajtu -&gt;")</f>
        <v> Pogledajte proizvod na sajtu -&gt;</v>
      </c>
    </row>
    <row r="38" spans="1:6" ht="12.75">
      <c r="A38" s="2">
        <v>37</v>
      </c>
      <c r="B38" t="s">
        <v>2314</v>
      </c>
      <c r="C38" t="s">
        <v>2304</v>
      </c>
      <c r="D38" s="2">
        <v>727</v>
      </c>
      <c r="E38" s="2">
        <v>0.8</v>
      </c>
      <c r="F38" s="3" t="str">
        <f>HYPERLINK("http://www.sah.co.rs/pyf08a.html?___store=serbian"," Pogledajte proizvod na sajtu -&gt;")</f>
        <v> Pogledajte proizvod na sajtu -&gt;</v>
      </c>
    </row>
    <row r="39" spans="1:6" ht="12.75">
      <c r="A39" s="2">
        <v>38</v>
      </c>
      <c r="B39" t="s">
        <v>2315</v>
      </c>
      <c r="C39" t="s">
        <v>2304</v>
      </c>
      <c r="D39" s="2">
        <v>12</v>
      </c>
      <c r="E39" s="2">
        <v>1.5</v>
      </c>
      <c r="F39" s="3" t="str">
        <f>HYPERLINK("http://www.sah.co.rs/as626.html?___store=serbian"," Pogledajte proizvod na sajtu -&gt;")</f>
        <v> Pogledajte proizvod na sajtu -&gt;</v>
      </c>
    </row>
    <row r="40" spans="1:6" ht="12.75">
      <c r="A40" s="2">
        <v>39</v>
      </c>
      <c r="B40" t="s">
        <v>2316</v>
      </c>
      <c r="C40" t="s">
        <v>2304</v>
      </c>
      <c r="D40" s="2">
        <v>211</v>
      </c>
      <c r="E40" s="2">
        <v>0.8</v>
      </c>
      <c r="F40" s="3" t="str">
        <f>HYPERLINK("http://www.sah.co.rs/pf083a-e.html?___store=serbian"," Pogledajte proizvod na sajtu -&gt;")</f>
        <v> Pogledajte proizvod na sajtu -&gt;</v>
      </c>
    </row>
    <row r="41" spans="1:6" ht="12.75">
      <c r="A41" s="2">
        <v>40</v>
      </c>
      <c r="B41" t="s">
        <v>2317</v>
      </c>
      <c r="C41" t="s">
        <v>2318</v>
      </c>
      <c r="D41" s="2">
        <v>0</v>
      </c>
      <c r="E41" s="2">
        <v>1.5</v>
      </c>
      <c r="F41" s="3" t="str">
        <f>HYPERLINK("http://www.sah.co.rs/src05-e.html?___store=serbian"," Pogledajte proizvod na sajtu -&gt;")</f>
        <v> Pogledajte proizvod na sajtu -&gt;</v>
      </c>
    </row>
    <row r="42" spans="1:6" ht="12.75">
      <c r="A42" s="2">
        <v>41</v>
      </c>
      <c r="B42" t="s">
        <v>2319</v>
      </c>
      <c r="C42" t="s">
        <v>2318</v>
      </c>
      <c r="D42" s="2">
        <v>378</v>
      </c>
      <c r="E42" s="2">
        <v>1.5</v>
      </c>
      <c r="F42" s="3" t="str">
        <f>HYPERLINK("http://www.sah.co.rs/as625.html?___store=serbian"," Pogledajte proizvod na sajtu -&gt;")</f>
        <v> Pogledajte proizvod na sajtu -&gt;</v>
      </c>
    </row>
    <row r="43" spans="1:6" ht="12.75">
      <c r="A43" s="2">
        <v>42</v>
      </c>
      <c r="B43" t="s">
        <v>2320</v>
      </c>
      <c r="C43" t="s">
        <v>2318</v>
      </c>
      <c r="D43" s="2">
        <v>522</v>
      </c>
      <c r="E43" s="2">
        <v>1.8</v>
      </c>
      <c r="F43" s="3" t="str">
        <f>HYPERLINK("http://www.sah.co.rs/sru05-e.html?___store=serbian"," Pogledajte proizvod na sajtu -&gt;")</f>
        <v> Pogledajte proizvod na sajtu -&gt;</v>
      </c>
    </row>
    <row r="44" spans="1:6" ht="12.75">
      <c r="A44" s="2">
        <v>43</v>
      </c>
      <c r="B44" t="s">
        <v>2321</v>
      </c>
      <c r="C44" t="s">
        <v>2322</v>
      </c>
      <c r="D44" s="2">
        <v>321</v>
      </c>
      <c r="E44" s="2">
        <v>3.5</v>
      </c>
      <c r="F44" s="3" t="str">
        <f>HYPERLINK("http://www.sah.co.rs/snc05-e-a.html?___store=serbian"," Pogledajte proizvod na sajtu -&gt;")</f>
        <v> Pogledajte proizvod na sajtu -&gt;</v>
      </c>
    </row>
    <row r="45" spans="1:6" ht="12.75">
      <c r="A45" s="2">
        <v>44</v>
      </c>
      <c r="B45" t="s">
        <v>2323</v>
      </c>
      <c r="C45" t="s">
        <v>2324</v>
      </c>
      <c r="D45" s="2">
        <v>219</v>
      </c>
      <c r="E45" s="2">
        <v>4</v>
      </c>
      <c r="F45" s="3" t="str">
        <f>HYPERLINK("http://www.sah.co.rs/snc05-e-d.html?___store=serbian","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F3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8.00390625" style="0" customWidth="1"/>
    <col min="3" max="3" width="23.71093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2325</v>
      </c>
      <c r="C2" t="s">
        <v>2326</v>
      </c>
      <c r="D2" s="2">
        <v>70</v>
      </c>
      <c r="E2" s="2">
        <v>5</v>
      </c>
      <c r="F2" s="3" t="str">
        <f>HYPERLINK("http://www.sah.co.rs/cob-62.html?___store=serbian"," Pogledajte proizvod na sajtu -&gt;")</f>
        <v> Pogledajte proizvod na sajtu -&gt;</v>
      </c>
    </row>
    <row r="3" spans="1:6" ht="12.75">
      <c r="A3" s="2">
        <v>2</v>
      </c>
      <c r="B3" t="s">
        <v>2327</v>
      </c>
      <c r="C3" t="s">
        <v>2328</v>
      </c>
      <c r="D3" s="2">
        <v>46</v>
      </c>
      <c r="E3" s="2">
        <v>7</v>
      </c>
      <c r="F3" s="3" t="str">
        <f>HYPERLINK("http://www.sah.co.rs/cob-63.html?___store=serbian","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9.8515625" style="0" customWidth="1"/>
    <col min="3" max="3" width="24.281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2329</v>
      </c>
      <c r="C2" t="s">
        <v>2330</v>
      </c>
      <c r="D2" s="2">
        <v>65</v>
      </c>
      <c r="E2" s="2">
        <v>7.5</v>
      </c>
      <c r="F2" s="3" t="str">
        <f>HYPERLINK("http://www.sah.co.rs/fl-2-100a.html?___store=serbian"," Pogledajte proizvod na sajtu -&gt;")</f>
        <v> Pogledajte proizvod na sajtu -&gt;</v>
      </c>
    </row>
    <row r="3" spans="1:6" ht="12.75">
      <c r="A3" s="2">
        <v>2</v>
      </c>
      <c r="B3" t="s">
        <v>2331</v>
      </c>
      <c r="C3" t="s">
        <v>2332</v>
      </c>
      <c r="D3" s="2">
        <v>35</v>
      </c>
      <c r="E3" s="2">
        <v>5</v>
      </c>
      <c r="F3" s="3" t="str">
        <f>HYPERLINK("http://www.sah.co.rs/fl-2-10a.html?___store=serbian"," Pogledajte proizvod na sajtu -&gt;")</f>
        <v> Pogledajte proizvod na sajtu -&gt;</v>
      </c>
    </row>
    <row r="4" spans="1:6" ht="12.75">
      <c r="A4" s="2">
        <v>3</v>
      </c>
      <c r="B4" t="s">
        <v>2333</v>
      </c>
      <c r="C4" t="s">
        <v>2334</v>
      </c>
      <c r="D4" s="2">
        <v>12</v>
      </c>
      <c r="E4" s="2">
        <v>9</v>
      </c>
      <c r="F4" s="3" t="str">
        <f>HYPERLINK("http://www.sah.co.rs/fl-2-200a.html?___store=serbian"," Pogledajte proizvod na sajtu -&gt;")</f>
        <v> Pogledajte proizvod na sajtu -&gt;</v>
      </c>
    </row>
    <row r="5" spans="1:6" ht="12.75">
      <c r="A5" s="2">
        <v>4</v>
      </c>
      <c r="B5" t="s">
        <v>2335</v>
      </c>
      <c r="C5" t="s">
        <v>2336</v>
      </c>
      <c r="D5" s="2">
        <v>57</v>
      </c>
      <c r="E5" s="2">
        <v>5</v>
      </c>
      <c r="F5" s="3" t="str">
        <f>HYPERLINK("http://www.sah.co.rs/fl-2-20a.html?___store=serbian"," Pogledajte proizvod na sajtu -&gt;")</f>
        <v> Pogledajte proizvod na sajtu -&gt;</v>
      </c>
    </row>
    <row r="6" spans="1:6" ht="12.75">
      <c r="A6" s="2">
        <v>5</v>
      </c>
      <c r="B6" t="s">
        <v>2337</v>
      </c>
      <c r="C6" t="s">
        <v>2338</v>
      </c>
      <c r="D6" s="2">
        <v>14</v>
      </c>
      <c r="E6" s="2">
        <v>11</v>
      </c>
      <c r="F6" s="3" t="str">
        <f>HYPERLINK("http://www.sah.co.rs/fl-2-300a.html?___store=serbian"," Pogledajte proizvod na sajtu -&gt;")</f>
        <v> Pogledajte proizvod na sajtu -&gt;</v>
      </c>
    </row>
    <row r="7" spans="1:6" ht="12.75">
      <c r="A7" s="2">
        <v>6</v>
      </c>
      <c r="B7" t="s">
        <v>2339</v>
      </c>
      <c r="C7" t="s">
        <v>2340</v>
      </c>
      <c r="D7" s="2">
        <v>30</v>
      </c>
      <c r="E7" s="2">
        <v>5</v>
      </c>
      <c r="F7" s="3" t="str">
        <f>HYPERLINK("http://www.sah.co.rs/fl-2-30a.html?___store=serbian"," Pogledajte proizvod na sajtu -&gt;")</f>
        <v> Pogledajte proizvod na sajtu -&gt;</v>
      </c>
    </row>
    <row r="8" spans="1:6" ht="12.75">
      <c r="A8" s="2">
        <v>7</v>
      </c>
      <c r="B8" t="s">
        <v>2341</v>
      </c>
      <c r="C8" t="s">
        <v>2342</v>
      </c>
      <c r="D8" s="2">
        <v>36</v>
      </c>
      <c r="E8" s="2">
        <v>6</v>
      </c>
      <c r="F8" s="3" t="str">
        <f>HYPERLINK("http://www.sah.co.rs/fl-2-50a.html?___store=serbian","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F261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37.421875" style="0" customWidth="1"/>
    <col min="3" max="3" width="101.4218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2343</v>
      </c>
      <c r="C2" t="s">
        <v>2344</v>
      </c>
      <c r="D2" s="2">
        <v>1</v>
      </c>
      <c r="E2" s="2">
        <v>120</v>
      </c>
      <c r="F2" s="3" t="str">
        <f>HYPERLINK("http://www.sah.co.rs/rs11aa100.html?___store=serbian"," Pogledajte proizvod na sajtu -&gt;")</f>
        <v> Pogledajte proizvod na sajtu -&gt;</v>
      </c>
    </row>
    <row r="3" spans="1:6" ht="12.75">
      <c r="A3" s="2">
        <v>2</v>
      </c>
      <c r="B3" t="s">
        <v>2345</v>
      </c>
      <c r="C3" t="s">
        <v>2344</v>
      </c>
      <c r="D3" s="2">
        <v>0</v>
      </c>
      <c r="E3" s="2">
        <v>140</v>
      </c>
      <c r="F3" s="3" t="str">
        <f>HYPERLINK("http://www.sah.co.rs/rs11aa100f.html?___store=serbian"," Pogledajte proizvod na sajtu -&gt;")</f>
        <v> Pogledajte proizvod na sajtu -&gt;</v>
      </c>
    </row>
    <row r="4" spans="1:6" ht="12.75">
      <c r="A4" s="2">
        <v>3</v>
      </c>
      <c r="B4" t="s">
        <v>2346</v>
      </c>
      <c r="C4" t="s">
        <v>2347</v>
      </c>
      <c r="D4" s="2">
        <v>7</v>
      </c>
      <c r="E4" s="2">
        <v>250</v>
      </c>
      <c r="F4" s="3" t="str">
        <f>HYPERLINK("http://www.sah.co.rs/mfm500.html?___store=serbian"," Pogledajte proizvod na sajtu -&gt;")</f>
        <v> Pogledajte proizvod na sajtu -&gt;</v>
      </c>
    </row>
    <row r="5" spans="1:6" ht="12.75">
      <c r="A5" s="2">
        <v>4</v>
      </c>
      <c r="B5" t="s">
        <v>2348</v>
      </c>
      <c r="C5" t="s">
        <v>2349</v>
      </c>
      <c r="D5" s="2">
        <v>25</v>
      </c>
      <c r="E5" s="2">
        <v>16</v>
      </c>
      <c r="F5" s="3" t="str">
        <f>HYPERLINK("http://www.sah.co.rs/g15-3a10na.html?___store=serbian"," Pogledajte proizvod na sajtu -&gt;")</f>
        <v> Pogledajte proizvod na sajtu -&gt;</v>
      </c>
    </row>
    <row r="6" spans="1:6" ht="12.75">
      <c r="A6" s="2">
        <v>5</v>
      </c>
      <c r="B6" t="s">
        <v>2350</v>
      </c>
      <c r="C6" t="s">
        <v>2351</v>
      </c>
      <c r="D6" s="2">
        <v>27</v>
      </c>
      <c r="E6" s="2">
        <v>16</v>
      </c>
      <c r="F6" s="3" t="str">
        <f>HYPERLINK("http://www.sah.co.rs/g15-3a10pa.html?___store=serbian"," Pogledajte proizvod na sajtu -&gt;")</f>
        <v> Pogledajte proizvod na sajtu -&gt;</v>
      </c>
    </row>
    <row r="7" spans="1:6" ht="12.75">
      <c r="A7" s="2">
        <v>6</v>
      </c>
      <c r="B7" t="s">
        <v>2352</v>
      </c>
      <c r="C7" t="s">
        <v>2353</v>
      </c>
      <c r="D7" s="2">
        <v>86</v>
      </c>
      <c r="E7" s="2">
        <v>20</v>
      </c>
      <c r="F7" s="3" t="str">
        <f>HYPERLINK("http://www.sah.co.rs/gen500-dfr.html?___store=serbian"," Pogledajte proizvod na sajtu -&gt;")</f>
        <v> Pogledajte proizvod na sajtu -&gt;</v>
      </c>
    </row>
    <row r="8" spans="1:6" ht="12.75">
      <c r="A8" s="2">
        <v>7</v>
      </c>
      <c r="B8" t="s">
        <v>2354</v>
      </c>
      <c r="C8" t="s">
        <v>2355</v>
      </c>
      <c r="D8" s="2">
        <v>0</v>
      </c>
      <c r="E8" s="2">
        <v>19</v>
      </c>
      <c r="F8" s="3" t="str">
        <f>HYPERLINK("http://www.sah.co.rs/g70-3a20pa.html?___store=serbian"," Pogledajte proizvod na sajtu -&gt;")</f>
        <v> Pogledajte proizvod na sajtu -&gt;</v>
      </c>
    </row>
    <row r="9" spans="1:6" ht="12.75">
      <c r="A9" s="2">
        <v>8</v>
      </c>
      <c r="B9" t="s">
        <v>2356</v>
      </c>
      <c r="C9" t="s">
        <v>2357</v>
      </c>
      <c r="D9" s="2">
        <v>35</v>
      </c>
      <c r="E9" s="2">
        <v>20</v>
      </c>
      <c r="F9" s="3" t="str">
        <f>HYPERLINK("http://www.sah.co.rs/g12-3a07na.html?___store=serbian"," Pogledajte proizvod na sajtu -&gt;")</f>
        <v> Pogledajte proizvod na sajtu -&gt;</v>
      </c>
    </row>
    <row r="10" spans="1:6" ht="12.75">
      <c r="A10" s="2">
        <v>9</v>
      </c>
      <c r="B10" t="s">
        <v>2358</v>
      </c>
      <c r="C10" t="s">
        <v>2359</v>
      </c>
      <c r="D10" s="2">
        <v>20</v>
      </c>
      <c r="E10" s="2">
        <v>20</v>
      </c>
      <c r="F10" s="3" t="str">
        <f>HYPERLINK("http://www.sah.co.rs/g12-3a07pa.html?___store=serbian"," Pogledajte proizvod na sajtu -&gt;")</f>
        <v> Pogledajte proizvod na sajtu -&gt;</v>
      </c>
    </row>
    <row r="11" spans="1:6" ht="12.75">
      <c r="A11" s="2">
        <v>10</v>
      </c>
      <c r="B11" t="s">
        <v>2360</v>
      </c>
      <c r="C11" t="s">
        <v>2361</v>
      </c>
      <c r="D11" s="2">
        <v>33</v>
      </c>
      <c r="E11" s="2">
        <v>14</v>
      </c>
      <c r="F11" s="3" t="str">
        <f>HYPERLINK("http://www.sah.co.rs/g18-3a10nc.html?___store=serbian"," Pogledajte proizvod na sajtu -&gt;")</f>
        <v> Pogledajte proizvod na sajtu -&gt;</v>
      </c>
    </row>
    <row r="12" spans="1:6" ht="12.75">
      <c r="A12" s="2">
        <v>11</v>
      </c>
      <c r="B12" t="s">
        <v>2362</v>
      </c>
      <c r="C12" t="s">
        <v>2363</v>
      </c>
      <c r="D12" s="2">
        <v>10</v>
      </c>
      <c r="E12" s="2">
        <v>16</v>
      </c>
      <c r="F12" s="3" t="str">
        <f>HYPERLINK("http://www.sah.co.rs/g18-3a30nc.html?___store=serbian"," Pogledajte proizvod na sajtu -&gt;")</f>
        <v> Pogledajte proizvod na sajtu -&gt;</v>
      </c>
    </row>
    <row r="13" spans="1:6" ht="12.75">
      <c r="A13" s="2">
        <v>12</v>
      </c>
      <c r="B13" t="s">
        <v>2364</v>
      </c>
      <c r="C13" t="s">
        <v>2365</v>
      </c>
      <c r="D13" s="2">
        <v>89</v>
      </c>
      <c r="E13" s="2">
        <v>15</v>
      </c>
      <c r="F13" s="3" t="str">
        <f>HYPERLINK("http://www.sah.co.rs/g18-3a30na.html?___store=serbian"," Pogledajte proizvod na sajtu -&gt;")</f>
        <v> Pogledajte proizvod na sajtu -&gt;</v>
      </c>
    </row>
    <row r="14" spans="1:6" ht="12.75">
      <c r="A14" s="2">
        <v>13</v>
      </c>
      <c r="B14" t="s">
        <v>2366</v>
      </c>
      <c r="C14" t="s">
        <v>2367</v>
      </c>
      <c r="D14" s="2">
        <v>90</v>
      </c>
      <c r="E14" s="2">
        <v>16</v>
      </c>
      <c r="F14" s="3" t="str">
        <f>HYPERLINK("http://www.sah.co.rs/g18-3a30pc.html?___store=serbian"," Pogledajte proizvod na sajtu -&gt;")</f>
        <v> Pogledajte proizvod na sajtu -&gt;</v>
      </c>
    </row>
    <row r="15" spans="1:6" ht="12.75">
      <c r="A15" s="2">
        <v>14</v>
      </c>
      <c r="B15" t="s">
        <v>2368</v>
      </c>
      <c r="C15" t="s">
        <v>2369</v>
      </c>
      <c r="D15" s="2">
        <v>79</v>
      </c>
      <c r="E15" s="2">
        <v>15</v>
      </c>
      <c r="F15" s="3" t="str">
        <f>HYPERLINK("http://www.sah.co.rs/g18-3a30pa.html?___store=serbian"," Pogledajte proizvod na sajtu -&gt;")</f>
        <v> Pogledajte proizvod na sajtu -&gt;</v>
      </c>
    </row>
    <row r="16" spans="1:6" ht="12.75">
      <c r="A16" s="2">
        <v>15</v>
      </c>
      <c r="B16" t="s">
        <v>2370</v>
      </c>
      <c r="C16" t="s">
        <v>2371</v>
      </c>
      <c r="D16" s="2">
        <v>16</v>
      </c>
      <c r="E16" s="2">
        <v>35</v>
      </c>
      <c r="F16" s="3" t="str">
        <f>HYPERLINK("http://www.sah.co.rs/el18-d1t40pa.html?___store=serbian"," Pogledajte proizvod na sajtu -&gt;")</f>
        <v> Pogledajte proizvod na sajtu -&gt;</v>
      </c>
    </row>
    <row r="17" spans="1:6" ht="12.75">
      <c r="A17" s="2">
        <v>16</v>
      </c>
      <c r="B17" t="s">
        <v>2372</v>
      </c>
      <c r="C17" t="s">
        <v>2373</v>
      </c>
      <c r="D17" s="2">
        <v>39</v>
      </c>
      <c r="E17" s="2">
        <v>16</v>
      </c>
      <c r="F17" s="3" t="str">
        <f>HYPERLINK("http://www.sah.co.rs/g18-2a30la.html?___store=serbian"," Pogledajte proizvod na sajtu -&gt;")</f>
        <v> Pogledajte proizvod na sajtu -&gt;</v>
      </c>
    </row>
    <row r="18" spans="1:6" ht="12.75">
      <c r="A18" s="2">
        <v>17</v>
      </c>
      <c r="B18" t="s">
        <v>2374</v>
      </c>
      <c r="C18" t="s">
        <v>2375</v>
      </c>
      <c r="D18" s="2">
        <v>19</v>
      </c>
      <c r="E18" s="2">
        <v>18</v>
      </c>
      <c r="F18" s="3" t="str">
        <f>HYPERLINK("http://www.sah.co.rs/g30-3a70nc.html?___store=serbian"," Pogledajte proizvod na sajtu -&gt;")</f>
        <v> Pogledajte proizvod na sajtu -&gt;</v>
      </c>
    </row>
    <row r="19" spans="1:6" ht="12.75">
      <c r="A19" s="2">
        <v>18</v>
      </c>
      <c r="B19" t="s">
        <v>2376</v>
      </c>
      <c r="C19" t="s">
        <v>2377</v>
      </c>
      <c r="D19" s="2">
        <v>49</v>
      </c>
      <c r="E19" s="2">
        <v>16</v>
      </c>
      <c r="F19" s="3" t="str">
        <f>HYPERLINK("http://www.sah.co.rs/g30-3a70na.html?___store=serbian"," Pogledajte proizvod na sajtu -&gt;")</f>
        <v> Pogledajte proizvod na sajtu -&gt;</v>
      </c>
    </row>
    <row r="20" spans="1:6" ht="12.75">
      <c r="A20" s="2">
        <v>19</v>
      </c>
      <c r="B20" t="s">
        <v>2378</v>
      </c>
      <c r="C20" t="s">
        <v>2379</v>
      </c>
      <c r="D20" s="2">
        <v>1</v>
      </c>
      <c r="E20" s="2">
        <v>18</v>
      </c>
      <c r="F20" s="3" t="str">
        <f>HYPERLINK("http://www.sah.co.rs/g30-3a70pc.html?___store=serbian"," Pogledajte proizvod na sajtu -&gt;")</f>
        <v> Pogledajte proizvod na sajtu -&gt;</v>
      </c>
    </row>
    <row r="21" spans="1:6" ht="12.75">
      <c r="A21" s="2">
        <v>20</v>
      </c>
      <c r="B21" t="s">
        <v>2380</v>
      </c>
      <c r="C21" t="s">
        <v>2381</v>
      </c>
      <c r="D21" s="2">
        <v>5</v>
      </c>
      <c r="E21" s="2">
        <v>16</v>
      </c>
      <c r="F21" s="3" t="str">
        <f>HYPERLINK("http://www.sah.co.rs/g30-3a70pa.html?___store=serbian"," Pogledajte proizvod na sajtu -&gt;")</f>
        <v> Pogledajte proizvod na sajtu -&gt;</v>
      </c>
    </row>
    <row r="22" spans="1:6" ht="12.75">
      <c r="A22" s="2">
        <v>21</v>
      </c>
      <c r="B22" t="s">
        <v>2382</v>
      </c>
      <c r="C22" t="s">
        <v>2383</v>
      </c>
      <c r="D22" s="2">
        <v>30</v>
      </c>
      <c r="E22" s="2">
        <v>20</v>
      </c>
      <c r="F22" s="3" t="str">
        <f>HYPERLINK("http://www.sah.co.rs/g30-2a70jc.html?___store=serbian"," Pogledajte proizvod na sajtu -&gt;")</f>
        <v> Pogledajte proizvod na sajtu -&gt;</v>
      </c>
    </row>
    <row r="23" spans="1:6" ht="12.75">
      <c r="A23" s="2">
        <v>22</v>
      </c>
      <c r="B23" t="s">
        <v>2384</v>
      </c>
      <c r="C23" t="s">
        <v>2385</v>
      </c>
      <c r="D23" s="2">
        <v>99</v>
      </c>
      <c r="E23" s="2">
        <v>30</v>
      </c>
      <c r="F23" s="3" t="str">
        <f>HYPERLINK("http://www.sah.co.rs/e3s-gs3p1.html?___store=serbian"," Pogledajte proizvod na sajtu -&gt;")</f>
        <v> Pogledajte proizvod na sajtu -&gt;</v>
      </c>
    </row>
    <row r="24" spans="1:6" ht="12.75">
      <c r="A24" s="2">
        <v>23</v>
      </c>
      <c r="B24" t="s">
        <v>2386</v>
      </c>
      <c r="C24" t="s">
        <v>2387</v>
      </c>
      <c r="D24" s="2">
        <v>68</v>
      </c>
      <c r="E24" s="2">
        <v>25</v>
      </c>
      <c r="F24" s="3" t="str">
        <f>HYPERLINK("http://www.sah.co.rs/g63-3e03na.html?___store=serbian"," Pogledajte proizvod na sajtu -&gt;")</f>
        <v> Pogledajte proizvod na sajtu -&gt;</v>
      </c>
    </row>
    <row r="25" spans="1:6" ht="12.75">
      <c r="A25" s="2">
        <v>24</v>
      </c>
      <c r="B25" t="s">
        <v>2388</v>
      </c>
      <c r="C25" t="s">
        <v>2389</v>
      </c>
      <c r="D25" s="2">
        <v>47</v>
      </c>
      <c r="E25" s="2">
        <v>25</v>
      </c>
      <c r="F25" s="3" t="str">
        <f>HYPERLINK("http://www.sah.co.rs/g63-3e03pc.html?___store=serbian"," Pogledajte proizvod na sajtu -&gt;")</f>
        <v> Pogledajte proizvod na sajtu -&gt;</v>
      </c>
    </row>
    <row r="26" spans="1:6" ht="12.75">
      <c r="A26" s="2">
        <v>25</v>
      </c>
      <c r="B26" t="s">
        <v>2390</v>
      </c>
      <c r="C26" t="s">
        <v>2391</v>
      </c>
      <c r="D26" s="2">
        <v>53</v>
      </c>
      <c r="E26" s="2">
        <v>25</v>
      </c>
      <c r="F26" s="3" t="str">
        <f>HYPERLINK("http://www.sah.co.rs/g63-3e03pa.html?___store=serbian"," Pogledajte proizvod na sajtu -&gt;")</f>
        <v> Pogledajte proizvod na sajtu -&gt;</v>
      </c>
    </row>
    <row r="27" spans="1:6" ht="12.75">
      <c r="A27" s="2">
        <v>26</v>
      </c>
      <c r="B27" t="s">
        <v>2392</v>
      </c>
      <c r="C27" t="s">
        <v>2393</v>
      </c>
      <c r="D27" s="2">
        <v>41</v>
      </c>
      <c r="E27" s="2">
        <v>25</v>
      </c>
      <c r="F27" s="3" t="str">
        <f>HYPERLINK("http://www.sah.co.rs/g65-3e01nc.html?___store=serbian"," Pogledajte proizvod na sajtu -&gt;")</f>
        <v> Pogledajte proizvod na sajtu -&gt;</v>
      </c>
    </row>
    <row r="28" spans="1:6" ht="12.75">
      <c r="A28" s="2">
        <v>27</v>
      </c>
      <c r="B28" t="s">
        <v>2394</v>
      </c>
      <c r="C28" t="s">
        <v>2395</v>
      </c>
      <c r="D28" s="2">
        <v>15</v>
      </c>
      <c r="E28" s="2">
        <v>25</v>
      </c>
      <c r="F28" s="3" t="str">
        <f>HYPERLINK("http://www.sah.co.rs/g65-3e01na.html?___store=serbian"," Pogledajte proizvod na sajtu -&gt;")</f>
        <v> Pogledajte proizvod na sajtu -&gt;</v>
      </c>
    </row>
    <row r="29" spans="1:6" ht="12.75">
      <c r="A29" s="2">
        <v>28</v>
      </c>
      <c r="B29" t="s">
        <v>2396</v>
      </c>
      <c r="C29" t="s">
        <v>2397</v>
      </c>
      <c r="D29" s="2">
        <v>21</v>
      </c>
      <c r="E29" s="2">
        <v>25</v>
      </c>
      <c r="F29" s="3" t="str">
        <f>HYPERLINK("http://www.sah.co.rs/g65-3e01pc.html?___store=serbian"," Pogledajte proizvod na sajtu -&gt;")</f>
        <v> Pogledajte proizvod na sajtu -&gt;</v>
      </c>
    </row>
    <row r="30" spans="1:6" ht="12.75">
      <c r="A30" s="2">
        <v>29</v>
      </c>
      <c r="B30" t="s">
        <v>2398</v>
      </c>
      <c r="C30" t="s">
        <v>2399</v>
      </c>
      <c r="D30" s="2">
        <v>47</v>
      </c>
      <c r="E30" s="2">
        <v>25</v>
      </c>
      <c r="F30" s="3" t="str">
        <f>HYPERLINK("http://www.sah.co.rs/g65-3e01pa.html?___store=serbian"," Pogledajte proizvod na sajtu -&gt;")</f>
        <v> Pogledajte proizvod na sajtu -&gt;</v>
      </c>
    </row>
    <row r="31" spans="1:6" ht="12.75">
      <c r="A31" s="2">
        <v>30</v>
      </c>
      <c r="B31" t="s">
        <v>2400</v>
      </c>
      <c r="C31" t="s">
        <v>2401</v>
      </c>
      <c r="D31" s="2">
        <v>152</v>
      </c>
      <c r="E31" s="2">
        <v>30</v>
      </c>
      <c r="F31" s="3" t="str">
        <f>HYPERLINK("http://www.sah.co.rs/gen10m-tfr.html?___store=serbian"," Pogledajte proizvod na sajtu -&gt;")</f>
        <v> Pogledajte proizvod na sajtu -&gt;</v>
      </c>
    </row>
    <row r="32" spans="1:6" ht="12.75">
      <c r="A32" s="2">
        <v>31</v>
      </c>
      <c r="B32" t="s">
        <v>2402</v>
      </c>
      <c r="C32" t="s">
        <v>2403</v>
      </c>
      <c r="D32" s="2">
        <v>33</v>
      </c>
      <c r="E32" s="2">
        <v>20</v>
      </c>
      <c r="F32" s="3" t="str">
        <f>HYPERLINK("http://www.sah.co.rs/g18-3c5nc.html?___store=serbian"," Pogledajte proizvod na sajtu -&gt;")</f>
        <v> Pogledajte proizvod na sajtu -&gt;</v>
      </c>
    </row>
    <row r="33" spans="1:6" ht="12.75">
      <c r="A33" s="2">
        <v>32</v>
      </c>
      <c r="B33" t="s">
        <v>2404</v>
      </c>
      <c r="C33" t="s">
        <v>2405</v>
      </c>
      <c r="D33" s="2">
        <v>14</v>
      </c>
      <c r="E33" s="2">
        <v>18</v>
      </c>
      <c r="F33" s="3" t="str">
        <f>HYPERLINK("http://www.sah.co.rs/g18-3c5na.html?___store=serbian"," Pogledajte proizvod na sajtu -&gt;")</f>
        <v> Pogledajte proizvod na sajtu -&gt;</v>
      </c>
    </row>
    <row r="34" spans="1:6" ht="12.75">
      <c r="A34" s="2">
        <v>33</v>
      </c>
      <c r="B34" t="s">
        <v>2406</v>
      </c>
      <c r="C34" t="s">
        <v>2407</v>
      </c>
      <c r="D34" s="2">
        <v>5</v>
      </c>
      <c r="E34" s="2">
        <v>20</v>
      </c>
      <c r="F34" s="3" t="str">
        <f>HYPERLINK("http://www.sah.co.rs/g18-3c5pc.html?___store=serbian"," Pogledajte proizvod na sajtu -&gt;")</f>
        <v> Pogledajte proizvod na sajtu -&gt;</v>
      </c>
    </row>
    <row r="35" spans="1:6" ht="12.75">
      <c r="A35" s="2">
        <v>34</v>
      </c>
      <c r="B35" t="s">
        <v>2408</v>
      </c>
      <c r="C35" t="s">
        <v>2409</v>
      </c>
      <c r="D35" s="2">
        <v>0</v>
      </c>
      <c r="E35" s="2">
        <v>18</v>
      </c>
      <c r="F35" s="3" t="str">
        <f>HYPERLINK("http://www.sah.co.rs/g18-3c5pa.html?___store=serbian"," Pogledajte proizvod na sajtu -&gt;")</f>
        <v> Pogledajte proizvod na sajtu -&gt;</v>
      </c>
    </row>
    <row r="36" spans="1:6" ht="12.75">
      <c r="A36" s="2">
        <v>35</v>
      </c>
      <c r="B36" t="s">
        <v>2410</v>
      </c>
      <c r="C36" t="s">
        <v>2411</v>
      </c>
      <c r="D36" s="2">
        <v>12</v>
      </c>
      <c r="E36" s="2">
        <v>21</v>
      </c>
      <c r="F36" s="3" t="str">
        <f>HYPERLINK("http://www.sah.co.rs/g18-2c5la.html?___store=serbian"," Pogledajte proizvod na sajtu -&gt;")</f>
        <v> Pogledajte proizvod na sajtu -&gt;</v>
      </c>
    </row>
    <row r="37" spans="1:6" ht="12.75">
      <c r="A37" s="2">
        <v>36</v>
      </c>
      <c r="B37" t="s">
        <v>2412</v>
      </c>
      <c r="C37" t="s">
        <v>2413</v>
      </c>
      <c r="D37" s="2">
        <v>26</v>
      </c>
      <c r="E37" s="2">
        <v>20</v>
      </c>
      <c r="F37" s="3" t="str">
        <f>HYPERLINK("http://www.sah.co.rs/g30-3c101na.html?___store=serbian"," Pogledajte proizvod na sajtu -&gt;")</f>
        <v> Pogledajte proizvod na sajtu -&gt;</v>
      </c>
    </row>
    <row r="38" spans="1:6" ht="12.75">
      <c r="A38" s="2">
        <v>37</v>
      </c>
      <c r="B38" t="s">
        <v>2414</v>
      </c>
      <c r="C38" t="s">
        <v>2415</v>
      </c>
      <c r="D38" s="2">
        <v>15</v>
      </c>
      <c r="E38" s="2">
        <v>20</v>
      </c>
      <c r="F38" s="3" t="str">
        <f>HYPERLINK("http://www.sah.co.rs/g30-3c101pa.html?___store=serbian"," Pogledajte proizvod na sajtu -&gt;")</f>
        <v> Pogledajte proizvod na sajtu -&gt;</v>
      </c>
    </row>
    <row r="39" spans="1:6" ht="12.75">
      <c r="A39" s="2">
        <v>38</v>
      </c>
      <c r="B39" t="s">
        <v>2416</v>
      </c>
      <c r="C39" t="s">
        <v>2417</v>
      </c>
      <c r="D39" s="2">
        <v>42</v>
      </c>
      <c r="E39" s="2">
        <v>25</v>
      </c>
      <c r="F39" s="3" t="str">
        <f>HYPERLINK("http://www.sah.co.rs/g30-2c101jc.html?___store=serbian"," Pogledajte proizvod na sajtu -&gt;")</f>
        <v> Pogledajte proizvod na sajtu -&gt;</v>
      </c>
    </row>
    <row r="40" spans="1:6" ht="12.75">
      <c r="A40" s="2">
        <v>39</v>
      </c>
      <c r="B40" t="s">
        <v>2418</v>
      </c>
      <c r="C40" t="s">
        <v>2419</v>
      </c>
      <c r="D40" s="2">
        <v>130</v>
      </c>
      <c r="E40" s="2">
        <v>25</v>
      </c>
      <c r="F40" s="3" t="str">
        <f>HYPERLINK("http://www.sah.co.rs/gen5m-mfr.html?___store=serbian"," Pogledajte proizvod na sajtu -&gt;")</f>
        <v> Pogledajte proizvod na sajtu -&gt;</v>
      </c>
    </row>
    <row r="41" spans="1:6" ht="12.75">
      <c r="A41" s="2">
        <v>40</v>
      </c>
      <c r="B41" t="s">
        <v>2420</v>
      </c>
      <c r="C41" t="s">
        <v>2421</v>
      </c>
      <c r="D41" s="2">
        <v>51</v>
      </c>
      <c r="E41" s="2">
        <v>20</v>
      </c>
      <c r="F41" s="3" t="str">
        <f>HYPERLINK("http://www.sah.co.rs/g50-4b5jc.html?___store=serbian"," Pogledajte proizvod na sajtu -&gt;")</f>
        <v> Pogledajte proizvod na sajtu -&gt;</v>
      </c>
    </row>
    <row r="42" spans="1:6" ht="12.75">
      <c r="A42" s="2">
        <v>41</v>
      </c>
      <c r="B42" t="s">
        <v>2422</v>
      </c>
      <c r="C42" t="s">
        <v>2423</v>
      </c>
      <c r="D42" s="2">
        <v>0</v>
      </c>
      <c r="E42" s="2">
        <v>19</v>
      </c>
      <c r="F42" s="3" t="str">
        <f>HYPERLINK("http://www.sah.co.rs/g70-3b2na.html?___store=serbian"," Pogledajte proizvod na sajtu -&gt;")</f>
        <v> Pogledajte proizvod na sajtu -&gt;</v>
      </c>
    </row>
    <row r="43" spans="1:6" ht="12.75">
      <c r="A43" s="2">
        <v>42</v>
      </c>
      <c r="B43" t="s">
        <v>2424</v>
      </c>
      <c r="C43" t="s">
        <v>2425</v>
      </c>
      <c r="D43" s="2">
        <v>0</v>
      </c>
      <c r="E43" s="2">
        <v>19</v>
      </c>
      <c r="F43" s="3" t="str">
        <f>HYPERLINK("http://www.sah.co.rs/g70-3b2pa.html?___store=serbian"," Pogledajte proizvod na sajtu -&gt;")</f>
        <v> Pogledajte proizvod na sajtu -&gt;</v>
      </c>
    </row>
    <row r="44" spans="1:6" ht="12.75">
      <c r="A44" s="2">
        <v>43</v>
      </c>
      <c r="B44" t="s">
        <v>2426</v>
      </c>
      <c r="C44" t="s">
        <v>2427</v>
      </c>
      <c r="D44" s="2">
        <v>35</v>
      </c>
      <c r="E44" s="2">
        <v>20</v>
      </c>
      <c r="F44" s="3" t="str">
        <f>HYPERLINK("http://www.sah.co.rs/g12-3b1na.html?___store=serbian"," Pogledajte proizvod na sajtu -&gt;")</f>
        <v> Pogledajte proizvod na sajtu -&gt;</v>
      </c>
    </row>
    <row r="45" spans="1:6" ht="12.75">
      <c r="A45" s="2">
        <v>44</v>
      </c>
      <c r="B45" t="s">
        <v>2428</v>
      </c>
      <c r="C45" t="s">
        <v>2429</v>
      </c>
      <c r="D45" s="2">
        <v>20</v>
      </c>
      <c r="E45" s="2">
        <v>20</v>
      </c>
      <c r="F45" s="3" t="str">
        <f>HYPERLINK("http://www.sah.co.rs/g12-3b1pa.html?___store=serbian"," Pogledajte proizvod na sajtu -&gt;")</f>
        <v> Pogledajte proizvod na sajtu -&gt;</v>
      </c>
    </row>
    <row r="46" spans="1:6" ht="12.75">
      <c r="A46" s="2">
        <v>45</v>
      </c>
      <c r="B46" t="s">
        <v>2430</v>
      </c>
      <c r="C46" t="s">
        <v>2431</v>
      </c>
      <c r="D46" s="2">
        <v>74</v>
      </c>
      <c r="E46" s="2">
        <v>16</v>
      </c>
      <c r="F46" s="3" t="str">
        <f>HYPERLINK("http://www.sah.co.rs/g18-3b2nc.html?___store=serbian"," Pogledajte proizvod na sajtu -&gt;")</f>
        <v> Pogledajte proizvod na sajtu -&gt;</v>
      </c>
    </row>
    <row r="47" spans="1:6" ht="12.75">
      <c r="A47" s="2">
        <v>46</v>
      </c>
      <c r="B47" t="s">
        <v>2432</v>
      </c>
      <c r="C47" t="s">
        <v>2433</v>
      </c>
      <c r="D47" s="2">
        <v>34</v>
      </c>
      <c r="E47" s="2">
        <v>15</v>
      </c>
      <c r="F47" s="3" t="str">
        <f>HYPERLINK("http://www.sah.co.rs/g18-3b2na.html?___store=serbian"," Pogledajte proizvod na sajtu -&gt;")</f>
        <v> Pogledajte proizvod na sajtu -&gt;</v>
      </c>
    </row>
    <row r="48" spans="1:6" ht="12.75">
      <c r="A48" s="2">
        <v>47</v>
      </c>
      <c r="B48" t="s">
        <v>2434</v>
      </c>
      <c r="C48" t="s">
        <v>2435</v>
      </c>
      <c r="D48" s="2">
        <v>54</v>
      </c>
      <c r="E48" s="2">
        <v>15</v>
      </c>
      <c r="F48" s="3" t="str">
        <f>HYPERLINK("http://www.sah.co.rs/g18-3b2pb.html?___store=serbian"," Pogledajte proizvod na sajtu -&gt;")</f>
        <v> Pogledajte proizvod na sajtu -&gt;</v>
      </c>
    </row>
    <row r="49" spans="1:6" ht="12.75">
      <c r="A49" s="2">
        <v>48</v>
      </c>
      <c r="B49" t="s">
        <v>2436</v>
      </c>
      <c r="C49" t="s">
        <v>2437</v>
      </c>
      <c r="D49" s="2">
        <v>29</v>
      </c>
      <c r="E49" s="2">
        <v>16</v>
      </c>
      <c r="F49" s="3" t="str">
        <f>HYPERLINK("http://www.sah.co.rs/g18-3b2pc.html?___store=serbian"," Pogledajte proizvod na sajtu -&gt;")</f>
        <v> Pogledajte proizvod na sajtu -&gt;</v>
      </c>
    </row>
    <row r="50" spans="1:6" ht="12.75">
      <c r="A50" s="2">
        <v>49</v>
      </c>
      <c r="B50" t="s">
        <v>2438</v>
      </c>
      <c r="C50" t="s">
        <v>2439</v>
      </c>
      <c r="D50" s="2">
        <v>34</v>
      </c>
      <c r="E50" s="2">
        <v>15</v>
      </c>
      <c r="F50" s="3" t="str">
        <f>HYPERLINK("http://www.sah.co.rs/g18-3b2pa.html?___store=serbian"," Pogledajte proizvod na sajtu -&gt;")</f>
        <v> Pogledajte proizvod na sajtu -&gt;</v>
      </c>
    </row>
    <row r="51" spans="1:6" ht="12.75">
      <c r="A51" s="2">
        <v>50</v>
      </c>
      <c r="B51" t="s">
        <v>2440</v>
      </c>
      <c r="C51" t="s">
        <v>2441</v>
      </c>
      <c r="D51" s="2">
        <v>63</v>
      </c>
      <c r="E51" s="2">
        <v>18</v>
      </c>
      <c r="F51" s="3" t="str">
        <f>HYPERLINK("http://www.sah.co.rs/g18-2b2la.html?___store=serbian"," Pogledajte proizvod na sajtu -&gt;")</f>
        <v> Pogledajte proizvod na sajtu -&gt;</v>
      </c>
    </row>
    <row r="52" spans="1:6" ht="12.75">
      <c r="A52" s="2">
        <v>51</v>
      </c>
      <c r="B52" t="s">
        <v>2442</v>
      </c>
      <c r="C52" t="s">
        <v>2443</v>
      </c>
      <c r="D52" s="2">
        <v>39</v>
      </c>
      <c r="E52" s="2">
        <v>18</v>
      </c>
      <c r="F52" s="3" t="str">
        <f>HYPERLINK("http://www.sah.co.rs/g30-3b3nc.html?___store=serbian"," Pogledajte proizvod na sajtu -&gt;")</f>
        <v> Pogledajte proizvod na sajtu -&gt;</v>
      </c>
    </row>
    <row r="53" spans="1:6" ht="12.75">
      <c r="A53" s="2">
        <v>52</v>
      </c>
      <c r="B53" t="s">
        <v>2444</v>
      </c>
      <c r="C53" t="s">
        <v>2445</v>
      </c>
      <c r="D53" s="2">
        <v>31</v>
      </c>
      <c r="E53" s="2">
        <v>16</v>
      </c>
      <c r="F53" s="3" t="str">
        <f>HYPERLINK("http://www.sah.co.rs/g30-3b3na.html?___store=serbian"," Pogledajte proizvod na sajtu -&gt;")</f>
        <v> Pogledajte proizvod na sajtu -&gt;</v>
      </c>
    </row>
    <row r="54" spans="1:6" ht="12.75">
      <c r="A54" s="2">
        <v>53</v>
      </c>
      <c r="B54" t="s">
        <v>2446</v>
      </c>
      <c r="C54" t="s">
        <v>2447</v>
      </c>
      <c r="D54" s="2">
        <v>60</v>
      </c>
      <c r="E54" s="2">
        <v>18</v>
      </c>
      <c r="F54" s="3" t="str">
        <f>HYPERLINK("http://www.sah.co.rs/g30-3b3pc.html?___store=serbian"," Pogledajte proizvod na sajtu -&gt;")</f>
        <v> Pogledajte proizvod na sajtu -&gt;</v>
      </c>
    </row>
    <row r="55" spans="1:6" ht="12.75">
      <c r="A55" s="2">
        <v>54</v>
      </c>
      <c r="B55" t="s">
        <v>2448</v>
      </c>
      <c r="C55" t="s">
        <v>2449</v>
      </c>
      <c r="D55" s="2">
        <v>35</v>
      </c>
      <c r="E55" s="2">
        <v>16</v>
      </c>
      <c r="F55" s="3" t="str">
        <f>HYPERLINK("http://www.sah.co.rs/g30-3b3pa.html?___store=serbian"," Pogledajte proizvod na sajtu -&gt;")</f>
        <v> Pogledajte proizvod na sajtu -&gt;</v>
      </c>
    </row>
    <row r="56" spans="1:6" ht="12.75">
      <c r="A56" s="2">
        <v>55</v>
      </c>
      <c r="B56" t="s">
        <v>2450</v>
      </c>
      <c r="C56" t="s">
        <v>2451</v>
      </c>
      <c r="D56" s="2">
        <v>33</v>
      </c>
      <c r="E56" s="2">
        <v>20</v>
      </c>
      <c r="F56" s="3" t="str">
        <f>HYPERLINK("http://www.sah.co.rs/g30-2b3jc.html?___store=serbian"," Pogledajte proizvod na sajtu -&gt;")</f>
        <v> Pogledajte proizvod na sajtu -&gt;</v>
      </c>
    </row>
    <row r="57" spans="1:6" ht="12.75">
      <c r="A57" s="2">
        <v>56</v>
      </c>
      <c r="B57" t="s">
        <v>2452</v>
      </c>
      <c r="C57" t="s">
        <v>2453</v>
      </c>
      <c r="D57" s="2">
        <v>45</v>
      </c>
      <c r="E57" s="2">
        <v>10</v>
      </c>
      <c r="F57" s="3" t="str">
        <f>HYPERLINK("http://www.sah.co.rs/sm12-31010na.html?___store=serbian"," Pogledajte proizvod na sajtu -&gt;")</f>
        <v> Pogledajte proizvod na sajtu -&gt;</v>
      </c>
    </row>
    <row r="58" spans="1:6" ht="12.75">
      <c r="A58" s="2">
        <v>57</v>
      </c>
      <c r="B58" t="s">
        <v>2454</v>
      </c>
      <c r="C58" t="s">
        <v>2455</v>
      </c>
      <c r="D58" s="2">
        <v>83</v>
      </c>
      <c r="E58" s="2">
        <v>10</v>
      </c>
      <c r="F58" s="3" t="str">
        <f>HYPERLINK("http://www.sah.co.rs/sm12-31010pa.html?___store=serbian"," Pogledajte proizvod na sajtu -&gt;")</f>
        <v> Pogledajte proizvod na sajtu -&gt;</v>
      </c>
    </row>
    <row r="59" spans="1:6" ht="12.75">
      <c r="A59" s="2">
        <v>58</v>
      </c>
      <c r="B59" t="s">
        <v>2456</v>
      </c>
      <c r="C59" t="s">
        <v>2457</v>
      </c>
      <c r="D59" s="2">
        <v>0</v>
      </c>
      <c r="E59" s="2">
        <v>8</v>
      </c>
      <c r="F59" s="3" t="str">
        <f>HYPERLINK("http://www.sah.co.rs/lmf2-3005na.html?___store=serbian"," Pogledajte proizvod na sajtu -&gt;")</f>
        <v> Pogledajte proizvod na sajtu -&gt;</v>
      </c>
    </row>
    <row r="60" spans="1:6" ht="12.75">
      <c r="A60" s="2">
        <v>59</v>
      </c>
      <c r="B60" t="s">
        <v>2458</v>
      </c>
      <c r="C60" t="s">
        <v>2459</v>
      </c>
      <c r="D60" s="2">
        <v>0</v>
      </c>
      <c r="E60" s="2">
        <v>8</v>
      </c>
      <c r="F60" s="3" t="str">
        <f>HYPERLINK("http://www.sah.co.rs/lmf2-3005pa.html?___store=serbian"," Pogledajte proizvod na sajtu -&gt;")</f>
        <v> Pogledajte proizvod na sajtu -&gt;</v>
      </c>
    </row>
    <row r="61" spans="1:6" ht="12.75">
      <c r="A61" s="2">
        <v>60</v>
      </c>
      <c r="B61" t="s">
        <v>2460</v>
      </c>
      <c r="C61" t="s">
        <v>2461</v>
      </c>
      <c r="D61" s="2">
        <v>23</v>
      </c>
      <c r="E61" s="2">
        <v>12</v>
      </c>
      <c r="F61" s="3" t="str">
        <f>HYPERLINK("http://www.sah.co.rs/lmf7-3015na.html?___store=serbian"," Pogledajte proizvod na sajtu -&gt;")</f>
        <v> Pogledajte proizvod na sajtu -&gt;</v>
      </c>
    </row>
    <row r="62" spans="1:6" ht="12.75">
      <c r="A62" s="2">
        <v>61</v>
      </c>
      <c r="B62" t="s">
        <v>2462</v>
      </c>
      <c r="C62" t="s">
        <v>2463</v>
      </c>
      <c r="D62" s="2">
        <v>2</v>
      </c>
      <c r="E62" s="2">
        <v>14</v>
      </c>
      <c r="F62" s="3" t="str">
        <f>HYPERLINK("http://www.sah.co.rs/lmf7-3015pc.html?___store=serbian"," Pogledajte proizvod na sajtu -&gt;")</f>
        <v> Pogledajte proizvod na sajtu -&gt;</v>
      </c>
    </row>
    <row r="63" spans="1:6" ht="12.75">
      <c r="A63" s="2">
        <v>62</v>
      </c>
      <c r="B63" t="s">
        <v>2464</v>
      </c>
      <c r="C63" t="s">
        <v>2465</v>
      </c>
      <c r="D63" s="2">
        <v>6</v>
      </c>
      <c r="E63" s="2">
        <v>12</v>
      </c>
      <c r="F63" s="3" t="str">
        <f>HYPERLINK("http://www.sah.co.rs/lmf7-3015pa.html?___store=serbian"," Pogledajte proizvod na sajtu -&gt;")</f>
        <v> Pogledajte proizvod na sajtu -&gt;</v>
      </c>
    </row>
    <row r="64" spans="1:6" ht="12.75">
      <c r="A64" s="2">
        <v>63</v>
      </c>
      <c r="B64" t="s">
        <v>2466</v>
      </c>
      <c r="C64" t="s">
        <v>2467</v>
      </c>
      <c r="D64" s="2">
        <v>9</v>
      </c>
      <c r="E64" s="2">
        <v>15</v>
      </c>
      <c r="F64" s="3" t="str">
        <f>HYPERLINK("http://www.sah.co.rs/lmf7-2015a.html?___store=serbian"," Pogledajte proizvod na sajtu -&gt;")</f>
        <v> Pogledajte proizvod na sajtu -&gt;</v>
      </c>
    </row>
    <row r="65" spans="1:6" ht="12.75">
      <c r="A65" s="2">
        <v>64</v>
      </c>
      <c r="B65" t="s">
        <v>2468</v>
      </c>
      <c r="C65" t="s">
        <v>2469</v>
      </c>
      <c r="D65" s="2">
        <v>36</v>
      </c>
      <c r="E65" s="2">
        <v>20</v>
      </c>
      <c r="F65" s="3" t="str">
        <f>HYPERLINK("http://www.sah.co.rs/lmf38-3040na.html?___store=serbian"," Pogledajte proizvod na sajtu -&gt;")</f>
        <v> Pogledajte proizvod na sajtu -&gt;</v>
      </c>
    </row>
    <row r="66" spans="1:6" ht="12.75">
      <c r="A66" s="2">
        <v>65</v>
      </c>
      <c r="B66" t="s">
        <v>2470</v>
      </c>
      <c r="C66" t="s">
        <v>2471</v>
      </c>
      <c r="D66" s="2">
        <v>16</v>
      </c>
      <c r="E66" s="2">
        <v>20</v>
      </c>
      <c r="F66" s="3" t="str">
        <f>HYPERLINK("http://www.sah.co.rs/lmf38-3040pa.html?___store=serbian"," Pogledajte proizvod na sajtu -&gt;")</f>
        <v> Pogledajte proizvod na sajtu -&gt;</v>
      </c>
    </row>
    <row r="67" spans="1:6" ht="12.75">
      <c r="A67" s="2">
        <v>66</v>
      </c>
      <c r="B67" t="s">
        <v>2472</v>
      </c>
      <c r="C67" t="s">
        <v>2473</v>
      </c>
      <c r="D67" s="2">
        <v>48</v>
      </c>
      <c r="E67" s="2">
        <v>12</v>
      </c>
      <c r="F67" s="3" t="str">
        <f>HYPERLINK("http://www.sah.co.rs/lmf15-3004na.html?___store=serbian"," Pogledajte proizvod na sajtu -&gt;")</f>
        <v> Pogledajte proizvod na sajtu -&gt;</v>
      </c>
    </row>
    <row r="68" spans="1:6" ht="12.75">
      <c r="A68" s="2">
        <v>67</v>
      </c>
      <c r="B68" t="s">
        <v>2474</v>
      </c>
      <c r="C68" t="s">
        <v>2475</v>
      </c>
      <c r="D68" s="2">
        <v>44</v>
      </c>
      <c r="E68" s="2">
        <v>12</v>
      </c>
      <c r="F68" s="3" t="str">
        <f>HYPERLINK("http://www.sah.co.rs/lmf15-3004pa.html?___store=serbian"," Pogledajte proizvod na sajtu -&gt;")</f>
        <v> Pogledajte proizvod na sajtu -&gt;</v>
      </c>
    </row>
    <row r="69" spans="1:6" ht="12.75">
      <c r="A69" s="2">
        <v>68</v>
      </c>
      <c r="B69" t="s">
        <v>2476</v>
      </c>
      <c r="C69" t="s">
        <v>2477</v>
      </c>
      <c r="D69" s="2">
        <v>103</v>
      </c>
      <c r="E69" s="2">
        <v>8</v>
      </c>
      <c r="F69" s="3" t="str">
        <f>HYPERLINK("http://www.sah.co.rs/lm12-3002la.html?___store=serbian"," Pogledajte proizvod na sajtu -&gt;")</f>
        <v> Pogledajte proizvod na sajtu -&gt;</v>
      </c>
    </row>
    <row r="70" spans="1:6" ht="12.75">
      <c r="A70" s="2">
        <v>69</v>
      </c>
      <c r="B70" t="s">
        <v>2478</v>
      </c>
      <c r="C70" t="s">
        <v>2479</v>
      </c>
      <c r="D70" s="2">
        <v>53</v>
      </c>
      <c r="E70" s="2">
        <v>8</v>
      </c>
      <c r="F70" s="3" t="str">
        <f>HYPERLINK("http://www.sah.co.rs/lm12-3004la.html?___store=serbian"," Pogledajte proizvod na sajtu -&gt;")</f>
        <v> Pogledajte proizvod na sajtu -&gt;</v>
      </c>
    </row>
    <row r="71" spans="1:6" ht="12.75">
      <c r="A71" s="2">
        <v>70</v>
      </c>
      <c r="B71" t="s">
        <v>2480</v>
      </c>
      <c r="C71" t="s">
        <v>2481</v>
      </c>
      <c r="D71" s="2">
        <v>3</v>
      </c>
      <c r="E71" s="2">
        <v>9</v>
      </c>
      <c r="F71" s="3" t="str">
        <f>HYPERLINK("http://www.sah.co.rs/itk-12nc4c.html?___store=serbian"," Pogledajte proizvod na sajtu -&gt;")</f>
        <v> Pogledajte proizvod na sajtu -&gt;</v>
      </c>
    </row>
    <row r="72" spans="1:6" ht="12.75">
      <c r="A72" s="2">
        <v>71</v>
      </c>
      <c r="B72" t="s">
        <v>2482</v>
      </c>
      <c r="C72" t="s">
        <v>2483</v>
      </c>
      <c r="D72" s="2">
        <v>0</v>
      </c>
      <c r="E72" s="2">
        <v>7.5</v>
      </c>
      <c r="F72" s="3" t="str">
        <f>HYPERLINK("http://www.sah.co.rs/lm12-3004nb.html?___store=serbian"," Pogledajte proizvod na sajtu -&gt;")</f>
        <v> Pogledajte proizvod na sajtu -&gt;</v>
      </c>
    </row>
    <row r="73" spans="1:6" ht="12.75">
      <c r="A73" s="2">
        <v>72</v>
      </c>
      <c r="B73" t="s">
        <v>2484</v>
      </c>
      <c r="C73" t="s">
        <v>2485</v>
      </c>
      <c r="D73" s="2">
        <v>59</v>
      </c>
      <c r="E73" s="2">
        <v>9</v>
      </c>
      <c r="F73" s="3" t="str">
        <f>HYPERLINK("http://www.sah.co.rs/lm12-3002nc.html?___store=serbian"," Pogledajte proizvod na sajtu -&gt;")</f>
        <v> Pogledajte proizvod na sajtu -&gt;</v>
      </c>
    </row>
    <row r="74" spans="1:6" ht="12.75">
      <c r="A74" s="2">
        <v>73</v>
      </c>
      <c r="B74" t="s">
        <v>2486</v>
      </c>
      <c r="C74" t="s">
        <v>2487</v>
      </c>
      <c r="D74" s="2">
        <v>43</v>
      </c>
      <c r="E74" s="2">
        <v>9</v>
      </c>
      <c r="F74" s="3" t="str">
        <f>HYPERLINK("http://www.sah.co.rs/lm12-3004nc.html?___store=serbian"," Pogledajte proizvod na sajtu -&gt;")</f>
        <v> Pogledajte proizvod na sajtu -&gt;</v>
      </c>
    </row>
    <row r="75" spans="1:6" ht="12.75">
      <c r="A75" s="2">
        <v>74</v>
      </c>
      <c r="B75" t="s">
        <v>2488</v>
      </c>
      <c r="C75" t="s">
        <v>2489</v>
      </c>
      <c r="D75" s="2">
        <v>112</v>
      </c>
      <c r="E75" s="2">
        <v>9</v>
      </c>
      <c r="F75" s="3" t="str">
        <f>HYPERLINK("http://www.sah.co.rs/itk-12n2c.html?___store=serbian"," Pogledajte proizvod na sajtu -&gt;")</f>
        <v> Pogledajte proizvod na sajtu -&gt;</v>
      </c>
    </row>
    <row r="76" spans="1:6" ht="12.75">
      <c r="A76" s="2">
        <v>75</v>
      </c>
      <c r="B76" t="s">
        <v>2490</v>
      </c>
      <c r="C76" t="s">
        <v>2491</v>
      </c>
      <c r="D76" s="2">
        <v>58</v>
      </c>
      <c r="E76" s="2">
        <v>7.5</v>
      </c>
      <c r="F76" s="3" t="str">
        <f>HYPERLINK("http://www.sah.co.rs/lm12-3002na.html?___store=serbian"," Pogledajte proizvod na sajtu -&gt;")</f>
        <v> Pogledajte proizvod na sajtu -&gt;</v>
      </c>
    </row>
    <row r="77" spans="1:6" ht="12.75">
      <c r="A77" s="2">
        <v>76</v>
      </c>
      <c r="B77" t="s">
        <v>2492</v>
      </c>
      <c r="C77" t="s">
        <v>2493</v>
      </c>
      <c r="D77" s="2">
        <v>86</v>
      </c>
      <c r="E77" s="2">
        <v>9</v>
      </c>
      <c r="F77" s="3" t="str">
        <f>HYPERLINK("http://www.sah.co.rs/itk-12n4c.html?___store=serbian"," Pogledajte proizvod na sajtu -&gt;")</f>
        <v> Pogledajte proizvod na sajtu -&gt;</v>
      </c>
    </row>
    <row r="78" spans="1:6" ht="12.75">
      <c r="A78" s="2">
        <v>77</v>
      </c>
      <c r="B78" t="s">
        <v>2494</v>
      </c>
      <c r="C78" t="s">
        <v>2495</v>
      </c>
      <c r="D78" s="2">
        <v>113</v>
      </c>
      <c r="E78" s="2">
        <v>7.5</v>
      </c>
      <c r="F78" s="3" t="str">
        <f>HYPERLINK("http://www.sah.co.rs/lm12-3004na.html?___store=serbian"," Pogledajte proizvod na sajtu -&gt;")</f>
        <v> Pogledajte proizvod na sajtu -&gt;</v>
      </c>
    </row>
    <row r="79" spans="1:6" ht="12.75">
      <c r="A79" s="2">
        <v>78</v>
      </c>
      <c r="B79" t="s">
        <v>2496</v>
      </c>
      <c r="C79" t="s">
        <v>2497</v>
      </c>
      <c r="D79" s="2">
        <v>0</v>
      </c>
      <c r="E79" s="2">
        <v>7.5</v>
      </c>
      <c r="F79" s="3" t="str">
        <f>HYPERLINK("http://www.sah.co.rs/lm12-3004pb.html?___store=serbian"," Pogledajte proizvod na sajtu -&gt;")</f>
        <v> Pogledajte proizvod na sajtu -&gt;</v>
      </c>
    </row>
    <row r="80" spans="1:6" ht="12.75">
      <c r="A80" s="2">
        <v>79</v>
      </c>
      <c r="B80" t="s">
        <v>2498</v>
      </c>
      <c r="C80" t="s">
        <v>2499</v>
      </c>
      <c r="D80" s="2">
        <v>42</v>
      </c>
      <c r="E80" s="2">
        <v>9</v>
      </c>
      <c r="F80" s="3" t="str">
        <f>HYPERLINK("http://www.sah.co.rs/lm12-3002pc.html?___store=serbian"," Pogledajte proizvod na sajtu -&gt;")</f>
        <v> Pogledajte proizvod na sajtu -&gt;</v>
      </c>
    </row>
    <row r="81" spans="1:6" ht="12.75">
      <c r="A81" s="2">
        <v>80</v>
      </c>
      <c r="B81" t="s">
        <v>2500</v>
      </c>
      <c r="C81" t="s">
        <v>2501</v>
      </c>
      <c r="D81" s="2">
        <v>50</v>
      </c>
      <c r="E81" s="2">
        <v>9</v>
      </c>
      <c r="F81" s="3" t="str">
        <f>HYPERLINK("http://www.sah.co.rs/lm12-3004pc.html?___store=serbian"," Pogledajte proizvod na sajtu -&gt;")</f>
        <v> Pogledajte proizvod na sajtu -&gt;</v>
      </c>
    </row>
    <row r="82" spans="1:6" ht="12.75">
      <c r="A82" s="2">
        <v>81</v>
      </c>
      <c r="B82" t="s">
        <v>2502</v>
      </c>
      <c r="C82" t="s">
        <v>2503</v>
      </c>
      <c r="D82" s="2">
        <v>112</v>
      </c>
      <c r="E82" s="2">
        <v>9</v>
      </c>
      <c r="F82" s="3" t="str">
        <f>HYPERLINK("http://www.sah.co.rs/itk-12p2c.html?___store=serbian"," Pogledajte proizvod na sajtu -&gt;")</f>
        <v> Pogledajte proizvod na sajtu -&gt;</v>
      </c>
    </row>
    <row r="83" spans="1:6" ht="12.75">
      <c r="A83" s="2">
        <v>82</v>
      </c>
      <c r="B83" t="s">
        <v>2504</v>
      </c>
      <c r="C83" t="s">
        <v>2505</v>
      </c>
      <c r="D83" s="2">
        <v>115</v>
      </c>
      <c r="E83" s="2">
        <v>7.5</v>
      </c>
      <c r="F83" s="3" t="str">
        <f>HYPERLINK("http://www.sah.co.rs/lm12-3002pa.html?___store=serbian"," Pogledajte proizvod na sajtu -&gt;")</f>
        <v> Pogledajte proizvod na sajtu -&gt;</v>
      </c>
    </row>
    <row r="84" spans="1:6" ht="12.75">
      <c r="A84" s="2">
        <v>83</v>
      </c>
      <c r="B84" t="s">
        <v>2506</v>
      </c>
      <c r="C84" t="s">
        <v>2507</v>
      </c>
      <c r="D84" s="2">
        <v>153</v>
      </c>
      <c r="E84" s="2">
        <v>9</v>
      </c>
      <c r="F84" s="3" t="str">
        <f>HYPERLINK("http://www.sah.co.rs/itk-12p4c.html?___store=serbian"," Pogledajte proizvod na sajtu -&gt;")</f>
        <v> Pogledajte proizvod na sajtu -&gt;</v>
      </c>
    </row>
    <row r="85" spans="1:6" ht="12.75">
      <c r="A85" s="2">
        <v>84</v>
      </c>
      <c r="B85" t="s">
        <v>2508</v>
      </c>
      <c r="C85" t="s">
        <v>2509</v>
      </c>
      <c r="D85" s="2">
        <v>364</v>
      </c>
      <c r="E85" s="2">
        <v>7.5</v>
      </c>
      <c r="F85" s="3" t="str">
        <f>HYPERLINK("http://www.sah.co.rs/lm12-3004pa.html?___store=serbian"," Pogledajte proizvod na sajtu -&gt;")</f>
        <v> Pogledajte proizvod na sajtu -&gt;</v>
      </c>
    </row>
    <row r="86" spans="1:6" ht="12.75">
      <c r="A86" s="2">
        <v>85</v>
      </c>
      <c r="B86" t="s">
        <v>2510</v>
      </c>
      <c r="C86" t="s">
        <v>2511</v>
      </c>
      <c r="D86" s="2">
        <v>37</v>
      </c>
      <c r="E86" s="2">
        <v>18</v>
      </c>
      <c r="F86" s="3" t="str">
        <f>HYPERLINK("http://www.sah.co.rs/lm12-33008pa-l.html?___store=serbian"," Pogledajte proizvod na sajtu -&gt;")</f>
        <v> Pogledajte proizvod na sajtu -&gt;</v>
      </c>
    </row>
    <row r="87" spans="1:6" ht="12.75">
      <c r="A87" s="2">
        <v>86</v>
      </c>
      <c r="B87" t="s">
        <v>2512</v>
      </c>
      <c r="C87" t="s">
        <v>2513</v>
      </c>
      <c r="D87" s="2">
        <v>39</v>
      </c>
      <c r="E87" s="2">
        <v>14</v>
      </c>
      <c r="F87" s="3" t="str">
        <f>HYPERLINK("http://www.sah.co.rs/lm12-3002nat.html?___store=serbian"," Pogledajte proizvod na sajtu -&gt;")</f>
        <v> Pogledajte proizvod na sajtu -&gt;</v>
      </c>
    </row>
    <row r="88" spans="1:6" ht="12.75">
      <c r="A88" s="2">
        <v>87</v>
      </c>
      <c r="B88" t="s">
        <v>2514</v>
      </c>
      <c r="C88" t="s">
        <v>2515</v>
      </c>
      <c r="D88" s="2">
        <v>55</v>
      </c>
      <c r="E88" s="2">
        <v>14</v>
      </c>
      <c r="F88" s="3" t="str">
        <f>HYPERLINK("http://www.sah.co.rs/lm12-3004nat.html?___store=serbian"," Pogledajte proizvod na sajtu -&gt;")</f>
        <v> Pogledajte proizvod na sajtu -&gt;</v>
      </c>
    </row>
    <row r="89" spans="1:6" ht="12.75">
      <c r="A89" s="2">
        <v>88</v>
      </c>
      <c r="B89" t="s">
        <v>2516</v>
      </c>
      <c r="C89" t="s">
        <v>2517</v>
      </c>
      <c r="D89" s="2">
        <v>34</v>
      </c>
      <c r="E89" s="2">
        <v>15</v>
      </c>
      <c r="F89" s="3" t="str">
        <f>HYPERLINK("http://www.sah.co.rs/lm12-3004pct.html?___store=serbian"," Pogledajte proizvod na sajtu -&gt;")</f>
        <v> Pogledajte proizvod na sajtu -&gt;</v>
      </c>
    </row>
    <row r="90" spans="1:6" ht="12.75">
      <c r="A90" s="2">
        <v>89</v>
      </c>
      <c r="B90" t="s">
        <v>2518</v>
      </c>
      <c r="C90" t="s">
        <v>2519</v>
      </c>
      <c r="D90" s="2">
        <v>55</v>
      </c>
      <c r="E90" s="2">
        <v>14</v>
      </c>
      <c r="F90" s="3" t="str">
        <f>HYPERLINK("http://www.sah.co.rs/lm12-3002pat.html?___store=serbian"," Pogledajte proizvod na sajtu -&gt;")</f>
        <v> Pogledajte proizvod na sajtu -&gt;</v>
      </c>
    </row>
    <row r="91" spans="1:6" ht="12.75">
      <c r="A91" s="2">
        <v>90</v>
      </c>
      <c r="B91" t="s">
        <v>2520</v>
      </c>
      <c r="C91" t="s">
        <v>2521</v>
      </c>
      <c r="D91" s="2">
        <v>114</v>
      </c>
      <c r="E91" s="2">
        <v>14</v>
      </c>
      <c r="F91" s="3" t="str">
        <f>HYPERLINK("http://www.sah.co.rs/lm12-3004pat.html?___store=serbian"," Pogledajte proizvod na sajtu -&gt;")</f>
        <v> Pogledajte proizvod na sajtu -&gt;</v>
      </c>
    </row>
    <row r="92" spans="1:6" ht="12.75">
      <c r="A92" s="2">
        <v>91</v>
      </c>
      <c r="B92" t="s">
        <v>2522</v>
      </c>
      <c r="C92" t="s">
        <v>2523</v>
      </c>
      <c r="D92" s="2">
        <v>41</v>
      </c>
      <c r="E92" s="2">
        <v>14</v>
      </c>
      <c r="F92" s="3" t="str">
        <f>HYPERLINK("http://www.sah.co.rs/lm12-3004nat3.html?___store=serbian"," Pogledajte proizvod na sajtu -&gt;")</f>
        <v> Pogledajte proizvod na sajtu -&gt;</v>
      </c>
    </row>
    <row r="93" spans="1:6" ht="12.75">
      <c r="A93" s="2">
        <v>92</v>
      </c>
      <c r="B93" t="s">
        <v>2524</v>
      </c>
      <c r="C93" t="s">
        <v>2525</v>
      </c>
      <c r="D93" s="2">
        <v>14</v>
      </c>
      <c r="E93" s="2">
        <v>14</v>
      </c>
      <c r="F93" s="3" t="str">
        <f>HYPERLINK("http://www.sah.co.rs/lm12-3002pat3.html?___store=serbian"," Pogledajte proizvod na sajtu -&gt;")</f>
        <v> Pogledajte proizvod na sajtu -&gt;</v>
      </c>
    </row>
    <row r="94" spans="1:6" ht="12.75">
      <c r="A94" s="2">
        <v>93</v>
      </c>
      <c r="B94" t="s">
        <v>2526</v>
      </c>
      <c r="C94" t="s">
        <v>2527</v>
      </c>
      <c r="D94" s="2">
        <v>46</v>
      </c>
      <c r="E94" s="2">
        <v>14</v>
      </c>
      <c r="F94" s="3" t="str">
        <f>HYPERLINK("http://www.sah.co.rs/lm12-3004pat3.html?___store=serbian"," Pogledajte proizvod na sajtu -&gt;")</f>
        <v> Pogledajte proizvod na sajtu -&gt;</v>
      </c>
    </row>
    <row r="95" spans="1:6" ht="12.75">
      <c r="A95" s="2">
        <v>94</v>
      </c>
      <c r="B95" t="s">
        <v>2528</v>
      </c>
      <c r="C95" t="s">
        <v>2529</v>
      </c>
      <c r="D95" s="2">
        <v>87</v>
      </c>
      <c r="E95" s="2">
        <v>9</v>
      </c>
      <c r="F95" s="3" t="str">
        <f>HYPERLINK("http://www.sah.co.rs/lm12-2004b.html?___store=serbian"," Pogledajte proizvod na sajtu -&gt;")</f>
        <v> Pogledajte proizvod na sajtu -&gt;</v>
      </c>
    </row>
    <row r="96" spans="1:6" ht="12.75">
      <c r="A96" s="2">
        <v>95</v>
      </c>
      <c r="B96" t="s">
        <v>2530</v>
      </c>
      <c r="C96" t="s">
        <v>2531</v>
      </c>
      <c r="D96" s="2">
        <v>106</v>
      </c>
      <c r="E96" s="2">
        <v>9</v>
      </c>
      <c r="F96" s="3" t="str">
        <f>HYPERLINK("http://www.sah.co.rs/lm12-2004a.html?___store=serbian"," Pogledajte proizvod na sajtu -&gt;")</f>
        <v> Pogledajte proizvod na sajtu -&gt;</v>
      </c>
    </row>
    <row r="97" spans="1:6" ht="12.75">
      <c r="A97" s="2">
        <v>96</v>
      </c>
      <c r="B97" t="s">
        <v>2532</v>
      </c>
      <c r="C97" t="s">
        <v>2533</v>
      </c>
      <c r="D97" s="2">
        <v>116</v>
      </c>
      <c r="E97" s="2">
        <v>10</v>
      </c>
      <c r="F97" s="3" t="str">
        <f>HYPERLINK("http://www.sah.co.rs/lm18-3005la.html?___store=serbian"," Pogledajte proizvod na sajtu -&gt;")</f>
        <v> Pogledajte proizvod na sajtu -&gt;</v>
      </c>
    </row>
    <row r="98" spans="1:6" ht="12.75">
      <c r="A98" s="2">
        <v>97</v>
      </c>
      <c r="B98" t="s">
        <v>2534</v>
      </c>
      <c r="C98" t="s">
        <v>2535</v>
      </c>
      <c r="D98" s="2">
        <v>36</v>
      </c>
      <c r="E98" s="2">
        <v>10</v>
      </c>
      <c r="F98" s="3" t="str">
        <f>HYPERLINK("http://www.sah.co.rs/lm18-3008la.html?___store=serbian"," Pogledajte proizvod na sajtu -&gt;")</f>
        <v> Pogledajte proizvod na sajtu -&gt;</v>
      </c>
    </row>
    <row r="99" spans="1:6" ht="12.75">
      <c r="A99" s="2">
        <v>98</v>
      </c>
      <c r="B99" t="s">
        <v>2536</v>
      </c>
      <c r="C99" t="s">
        <v>2537</v>
      </c>
      <c r="D99" s="2">
        <v>30</v>
      </c>
      <c r="E99" s="2">
        <v>12</v>
      </c>
      <c r="F99" s="3" t="str">
        <f>HYPERLINK("http://www.sah.co.rs/lm18-3005nc.html?___store=serbian"," Pogledajte proizvod na sajtu -&gt;")</f>
        <v> Pogledajte proizvod na sajtu -&gt;</v>
      </c>
    </row>
    <row r="100" spans="1:6" ht="12.75">
      <c r="A100" s="2">
        <v>99</v>
      </c>
      <c r="B100" t="s">
        <v>2538</v>
      </c>
      <c r="C100" t="s">
        <v>2539</v>
      </c>
      <c r="D100" s="2">
        <v>56</v>
      </c>
      <c r="E100" s="2">
        <v>12</v>
      </c>
      <c r="F100" s="3" t="str">
        <f>HYPERLINK("http://www.sah.co.rs/lm18-3008nc.html?___store=serbian"," Pogledajte proizvod na sajtu -&gt;")</f>
        <v> Pogledajte proizvod na sajtu -&gt;</v>
      </c>
    </row>
    <row r="101" spans="1:6" ht="12.75">
      <c r="A101" s="2">
        <v>100</v>
      </c>
      <c r="B101" t="s">
        <v>2540</v>
      </c>
      <c r="C101" t="s">
        <v>2541</v>
      </c>
      <c r="D101" s="2">
        <v>38</v>
      </c>
      <c r="E101" s="2">
        <v>12</v>
      </c>
      <c r="F101" s="3" t="str">
        <f>HYPERLINK("http://www.sah.co.rs/itk-18n5c.html?___store=serbian"," Pogledajte proizvod na sajtu -&gt;")</f>
        <v> Pogledajte proizvod na sajtu -&gt;</v>
      </c>
    </row>
    <row r="102" spans="1:6" ht="12.75">
      <c r="A102" s="2">
        <v>101</v>
      </c>
      <c r="B102" t="s">
        <v>2542</v>
      </c>
      <c r="C102" t="s">
        <v>2543</v>
      </c>
      <c r="D102" s="2">
        <v>106</v>
      </c>
      <c r="E102" s="2">
        <v>10</v>
      </c>
      <c r="F102" s="3" t="str">
        <f>HYPERLINK("http://www.sah.co.rs/lm18-3005na.html?___store=serbian"," Pogledajte proizvod na sajtu -&gt;")</f>
        <v> Pogledajte proizvod na sajtu -&gt;</v>
      </c>
    </row>
    <row r="103" spans="1:6" ht="12.75">
      <c r="A103" s="2">
        <v>102</v>
      </c>
      <c r="B103" t="s">
        <v>2544</v>
      </c>
      <c r="C103" t="s">
        <v>2545</v>
      </c>
      <c r="D103" s="2">
        <v>23</v>
      </c>
      <c r="E103" s="2">
        <v>12</v>
      </c>
      <c r="F103" s="3" t="str">
        <f>HYPERLINK("http://www.sah.co.rs/itk-18n8c.html?___store=serbian"," Pogledajte proizvod na sajtu -&gt;")</f>
        <v> Pogledajte proizvod na sajtu -&gt;</v>
      </c>
    </row>
    <row r="104" spans="1:6" ht="12.75">
      <c r="A104" s="2">
        <v>103</v>
      </c>
      <c r="B104" t="s">
        <v>2546</v>
      </c>
      <c r="C104" t="s">
        <v>2547</v>
      </c>
      <c r="D104" s="2">
        <v>135</v>
      </c>
      <c r="E104" s="2">
        <v>10</v>
      </c>
      <c r="F104" s="3" t="str">
        <f>HYPERLINK("http://www.sah.co.rs/lm18-3008na.html?___store=serbian"," Pogledajte proizvod na sajtu -&gt;")</f>
        <v> Pogledajte proizvod na sajtu -&gt;</v>
      </c>
    </row>
    <row r="105" spans="1:6" ht="12.75">
      <c r="A105" s="2">
        <v>104</v>
      </c>
      <c r="B105" t="s">
        <v>2548</v>
      </c>
      <c r="C105" t="s">
        <v>2549</v>
      </c>
      <c r="D105" s="2">
        <v>9</v>
      </c>
      <c r="E105" s="2">
        <v>12</v>
      </c>
      <c r="F105" s="3" t="str">
        <f>HYPERLINK("http://www.sah.co.rs/itk-18pc5c.html?___store=serbian"," Pogledajte proizvod na sajtu -&gt;")</f>
        <v> Pogledajte proizvod na sajtu -&gt;</v>
      </c>
    </row>
    <row r="106" spans="1:6" ht="12.75">
      <c r="A106" s="2">
        <v>105</v>
      </c>
      <c r="B106" t="s">
        <v>2550</v>
      </c>
      <c r="C106" t="s">
        <v>2551</v>
      </c>
      <c r="D106" s="2">
        <v>25</v>
      </c>
      <c r="E106" s="2">
        <v>10</v>
      </c>
      <c r="F106" s="3" t="str">
        <f>HYPERLINK("http://www.sah.co.rs/lm18-3005pb.html?___store=serbian"," Pogledajte proizvod na sajtu -&gt;")</f>
        <v> Pogledajte proizvod na sajtu -&gt;</v>
      </c>
    </row>
    <row r="107" spans="1:6" ht="12.75">
      <c r="A107" s="2">
        <v>106</v>
      </c>
      <c r="B107" t="s">
        <v>2552</v>
      </c>
      <c r="C107" t="s">
        <v>2553</v>
      </c>
      <c r="D107" s="2">
        <v>15</v>
      </c>
      <c r="E107" s="2">
        <v>10</v>
      </c>
      <c r="F107" s="3" t="str">
        <f>HYPERLINK("http://www.sah.co.rs/lm18-3008pb.html?___store=serbian"," Pogledajte proizvod na sajtu -&gt;")</f>
        <v> Pogledajte proizvod na sajtu -&gt;</v>
      </c>
    </row>
    <row r="108" spans="1:6" ht="12.75">
      <c r="A108" s="2">
        <v>107</v>
      </c>
      <c r="B108" t="s">
        <v>2554</v>
      </c>
      <c r="C108" t="s">
        <v>2555</v>
      </c>
      <c r="D108" s="2">
        <v>22</v>
      </c>
      <c r="E108" s="2">
        <v>12</v>
      </c>
      <c r="F108" s="3" t="str">
        <f>HYPERLINK("http://www.sah.co.rs/lm18-3005pc.html?___store=serbian"," Pogledajte proizvod na sajtu -&gt;")</f>
        <v> Pogledajte proizvod na sajtu -&gt;</v>
      </c>
    </row>
    <row r="109" spans="1:6" ht="12.75">
      <c r="A109" s="2">
        <v>108</v>
      </c>
      <c r="B109" t="s">
        <v>2556</v>
      </c>
      <c r="C109" t="s">
        <v>2557</v>
      </c>
      <c r="D109" s="2">
        <v>65</v>
      </c>
      <c r="E109" s="2">
        <v>12</v>
      </c>
      <c r="F109" s="3" t="str">
        <f>HYPERLINK("http://www.sah.co.rs/lm18-3008pc.html?___store=serbian"," Pogledajte proizvod na sajtu -&gt;")</f>
        <v> Pogledajte proizvod na sajtu -&gt;</v>
      </c>
    </row>
    <row r="110" spans="1:6" ht="12.75">
      <c r="A110" s="2">
        <v>109</v>
      </c>
      <c r="B110" t="s">
        <v>2558</v>
      </c>
      <c r="C110" t="s">
        <v>2559</v>
      </c>
      <c r="D110" s="2">
        <v>3</v>
      </c>
      <c r="E110" s="2">
        <v>20</v>
      </c>
      <c r="F110" s="3" t="str">
        <f>HYPERLINK("http://www.sah.co.rs/lm18-33016pa-l.html?___store=serbian"," Pogledajte proizvod na sajtu -&gt;")</f>
        <v> Pogledajte proizvod na sajtu -&gt;</v>
      </c>
    </row>
    <row r="111" spans="1:6" ht="12.75">
      <c r="A111" s="2">
        <v>110</v>
      </c>
      <c r="B111" t="s">
        <v>2560</v>
      </c>
      <c r="C111" t="s">
        <v>2561</v>
      </c>
      <c r="D111" s="2">
        <v>46</v>
      </c>
      <c r="E111" s="2">
        <v>12</v>
      </c>
      <c r="F111" s="3" t="str">
        <f>HYPERLINK("http://www.sah.co.rs/itk-18p5c.html?___store=serbian"," Pogledajte proizvod na sajtu -&gt;")</f>
        <v> Pogledajte proizvod na sajtu -&gt;</v>
      </c>
    </row>
    <row r="112" spans="1:6" ht="12.75">
      <c r="A112" s="2">
        <v>111</v>
      </c>
      <c r="B112" t="s">
        <v>2562</v>
      </c>
      <c r="C112" t="s">
        <v>2563</v>
      </c>
      <c r="D112" s="2">
        <v>13</v>
      </c>
      <c r="E112" s="2">
        <v>10</v>
      </c>
      <c r="F112" s="3" t="str">
        <f>HYPERLINK("http://www.sah.co.rs/lm18-3005pa.html?___store=serbian"," Pogledajte proizvod na sajtu -&gt;")</f>
        <v> Pogledajte proizvod na sajtu -&gt;</v>
      </c>
    </row>
    <row r="113" spans="1:6" ht="12.75">
      <c r="A113" s="2">
        <v>112</v>
      </c>
      <c r="B113" t="s">
        <v>2564</v>
      </c>
      <c r="C113" t="s">
        <v>2565</v>
      </c>
      <c r="D113" s="2">
        <v>91</v>
      </c>
      <c r="E113" s="2">
        <v>12</v>
      </c>
      <c r="F113" s="3" t="str">
        <f>HYPERLINK("http://www.sah.co.rs/itk-18p8c.html?___store=serbian"," Pogledajte proizvod na sajtu -&gt;")</f>
        <v> Pogledajte proizvod na sajtu -&gt;</v>
      </c>
    </row>
    <row r="114" spans="1:6" ht="12.75">
      <c r="A114" s="2">
        <v>113</v>
      </c>
      <c r="B114" t="s">
        <v>2566</v>
      </c>
      <c r="C114" t="s">
        <v>2567</v>
      </c>
      <c r="D114" s="2">
        <v>105</v>
      </c>
      <c r="E114" s="2">
        <v>10</v>
      </c>
      <c r="F114" s="3" t="str">
        <f>HYPERLINK("http://www.sah.co.rs/lm18-3008pa.html?___store=serbian"," Pogledajte proizvod na sajtu -&gt;")</f>
        <v> Pogledajte proizvod na sajtu -&gt;</v>
      </c>
    </row>
    <row r="115" spans="1:6" ht="12.75">
      <c r="A115" s="2">
        <v>114</v>
      </c>
      <c r="B115" t="s">
        <v>2568</v>
      </c>
      <c r="C115" t="s">
        <v>2569</v>
      </c>
      <c r="D115" s="2">
        <v>48</v>
      </c>
      <c r="E115" s="2">
        <v>16</v>
      </c>
      <c r="F115" s="3" t="str">
        <f>HYPERLINK("http://www.sah.co.rs/lm18-3005pat.html?___store=serbian"," Pogledajte proizvod na sajtu -&gt;")</f>
        <v> Pogledajte proizvod na sajtu -&gt;</v>
      </c>
    </row>
    <row r="116" spans="1:6" ht="12.75">
      <c r="A116" s="2">
        <v>115</v>
      </c>
      <c r="B116" t="s">
        <v>2570</v>
      </c>
      <c r="C116" t="s">
        <v>2571</v>
      </c>
      <c r="D116" s="2">
        <v>46</v>
      </c>
      <c r="E116" s="2">
        <v>16</v>
      </c>
      <c r="F116" s="3" t="str">
        <f>HYPERLINK("http://www.sah.co.rs/lm18-3008pat.html?___store=serbian"," Pogledajte proizvod na sajtu -&gt;")</f>
        <v> Pogledajte proizvod na sajtu -&gt;</v>
      </c>
    </row>
    <row r="117" spans="1:6" ht="12.75">
      <c r="A117" s="2">
        <v>116</v>
      </c>
      <c r="B117" t="s">
        <v>2572</v>
      </c>
      <c r="C117" t="s">
        <v>2573</v>
      </c>
      <c r="D117" s="2">
        <v>11</v>
      </c>
      <c r="E117" s="2">
        <v>16</v>
      </c>
      <c r="F117" s="3" t="str">
        <f>HYPERLINK("http://www.sah.co.rs/lm18-3005pat3.html?___store=serbian"," Pogledajte proizvod na sajtu -&gt;")</f>
        <v> Pogledajte proizvod na sajtu -&gt;</v>
      </c>
    </row>
    <row r="118" spans="1:6" ht="12.75">
      <c r="A118" s="2">
        <v>117</v>
      </c>
      <c r="B118" t="s">
        <v>2574</v>
      </c>
      <c r="C118" t="s">
        <v>2575</v>
      </c>
      <c r="D118" s="2">
        <v>80</v>
      </c>
      <c r="E118" s="2">
        <v>16</v>
      </c>
      <c r="F118" s="3" t="str">
        <f>HYPERLINK("http://www.sah.co.rs/lm18-3008pat3.html?___store=serbian"," Pogledajte proizvod na sajtu -&gt;")</f>
        <v> Pogledajte proizvod na sajtu -&gt;</v>
      </c>
    </row>
    <row r="119" spans="1:6" ht="12.75">
      <c r="A119" s="2">
        <v>118</v>
      </c>
      <c r="B119" t="s">
        <v>2576</v>
      </c>
      <c r="C119" t="s">
        <v>2577</v>
      </c>
      <c r="D119" s="2">
        <v>7</v>
      </c>
      <c r="E119" s="2">
        <v>12</v>
      </c>
      <c r="F119" s="3" t="str">
        <f>HYPERLINK("http://www.sah.co.rs/lm18-2005b.html?___store=serbian"," Pogledajte proizvod na sajtu -&gt;")</f>
        <v> Pogledajte proizvod na sajtu -&gt;</v>
      </c>
    </row>
    <row r="120" spans="1:6" ht="12.75">
      <c r="A120" s="2">
        <v>119</v>
      </c>
      <c r="B120" t="s">
        <v>2578</v>
      </c>
      <c r="C120" t="s">
        <v>2579</v>
      </c>
      <c r="D120" s="2">
        <v>49</v>
      </c>
      <c r="E120" s="2">
        <v>12</v>
      </c>
      <c r="F120" s="3" t="str">
        <f>HYPERLINK("http://www.sah.co.rs/lm18-2008b.html?___store=serbian"," Pogledajte proizvod na sajtu -&gt;")</f>
        <v> Pogledajte proizvod na sajtu -&gt;</v>
      </c>
    </row>
    <row r="121" spans="1:6" ht="12.75">
      <c r="A121" s="2">
        <v>120</v>
      </c>
      <c r="B121" t="s">
        <v>2580</v>
      </c>
      <c r="C121" t="s">
        <v>2581</v>
      </c>
      <c r="D121" s="2">
        <v>44</v>
      </c>
      <c r="E121" s="2">
        <v>12</v>
      </c>
      <c r="F121" s="3" t="str">
        <f>HYPERLINK("http://www.sah.co.rs/lm18-2005a.html?___store=serbian"," Pogledajte proizvod na sajtu -&gt;")</f>
        <v> Pogledajte proizvod na sajtu -&gt;</v>
      </c>
    </row>
    <row r="122" spans="1:6" ht="12.75">
      <c r="A122" s="2">
        <v>121</v>
      </c>
      <c r="B122" t="s">
        <v>2582</v>
      </c>
      <c r="C122" t="s">
        <v>2583</v>
      </c>
      <c r="D122" s="2">
        <v>135</v>
      </c>
      <c r="E122" s="2">
        <v>12</v>
      </c>
      <c r="F122" s="3" t="str">
        <f>HYPERLINK("http://www.sah.co.rs/lm18-2008a.html?___store=serbian"," Pogledajte proizvod na sajtu -&gt;")</f>
        <v> Pogledajte proizvod na sajtu -&gt;</v>
      </c>
    </row>
    <row r="123" spans="1:6" ht="12.75">
      <c r="A123" s="2">
        <v>122</v>
      </c>
      <c r="B123" t="s">
        <v>2584</v>
      </c>
      <c r="C123" t="s">
        <v>2585</v>
      </c>
      <c r="D123" s="2">
        <v>37</v>
      </c>
      <c r="E123" s="2">
        <v>12</v>
      </c>
      <c r="F123" s="3" t="str">
        <f>HYPERLINK("http://www.sah.co.rs/lm30-3010la.html?___store=serbian"," Pogledajte proizvod na sajtu -&gt;")</f>
        <v> Pogledajte proizvod na sajtu -&gt;</v>
      </c>
    </row>
    <row r="124" spans="1:6" ht="12.75">
      <c r="A124" s="2">
        <v>123</v>
      </c>
      <c r="B124" t="s">
        <v>2586</v>
      </c>
      <c r="C124" t="s">
        <v>2587</v>
      </c>
      <c r="D124" s="2">
        <v>40</v>
      </c>
      <c r="E124" s="2">
        <v>12</v>
      </c>
      <c r="F124" s="3" t="str">
        <f>HYPERLINK("http://www.sah.co.rs/lm30-3015la.html?___store=serbian"," Pogledajte proizvod na sajtu -&gt;")</f>
        <v> Pogledajte proizvod na sajtu -&gt;</v>
      </c>
    </row>
    <row r="125" spans="1:6" ht="12.75">
      <c r="A125" s="2">
        <v>124</v>
      </c>
      <c r="B125" t="s">
        <v>2588</v>
      </c>
      <c r="C125" t="s">
        <v>2589</v>
      </c>
      <c r="D125" s="2">
        <v>42</v>
      </c>
      <c r="E125" s="2">
        <v>12</v>
      </c>
      <c r="F125" s="3" t="str">
        <f>HYPERLINK("http://www.sah.co.rs/lm30-3010nc.html?___store=serbian"," Pogledajte proizvod na sajtu -&gt;")</f>
        <v> Pogledajte proizvod na sajtu -&gt;</v>
      </c>
    </row>
    <row r="126" spans="1:6" ht="12.75">
      <c r="A126" s="2">
        <v>125</v>
      </c>
      <c r="B126" t="s">
        <v>2590</v>
      </c>
      <c r="C126" t="s">
        <v>2591</v>
      </c>
      <c r="D126" s="2">
        <v>39</v>
      </c>
      <c r="E126" s="2">
        <v>14</v>
      </c>
      <c r="F126" s="3" t="str">
        <f>HYPERLINK("http://www.sah.co.rs/lm30-3015nc.html?___store=serbian"," Pogledajte proizvod na sajtu -&gt;")</f>
        <v> Pogledajte proizvod na sajtu -&gt;</v>
      </c>
    </row>
    <row r="127" spans="1:6" ht="12.75">
      <c r="A127" s="2">
        <v>126</v>
      </c>
      <c r="B127" t="s">
        <v>2592</v>
      </c>
      <c r="C127" t="s">
        <v>2593</v>
      </c>
      <c r="D127" s="2">
        <v>62</v>
      </c>
      <c r="E127" s="2">
        <v>12</v>
      </c>
      <c r="F127" s="3" t="str">
        <f>HYPERLINK("http://www.sah.co.rs/lm30-3010na.html?___store=serbian"," Pogledajte proizvod na sajtu -&gt;")</f>
        <v> Pogledajte proizvod na sajtu -&gt;</v>
      </c>
    </row>
    <row r="128" spans="1:6" ht="12.75">
      <c r="A128" s="2">
        <v>127</v>
      </c>
      <c r="B128" t="s">
        <v>2594</v>
      </c>
      <c r="C128" t="s">
        <v>2595</v>
      </c>
      <c r="D128" s="2">
        <v>42</v>
      </c>
      <c r="E128" s="2">
        <v>12</v>
      </c>
      <c r="F128" s="3" t="str">
        <f>HYPERLINK("http://www.sah.co.rs/lm30-3015na.html?___store=serbian"," Pogledajte proizvod na sajtu -&gt;")</f>
        <v> Pogledajte proizvod na sajtu -&gt;</v>
      </c>
    </row>
    <row r="129" spans="1:6" ht="12.75">
      <c r="A129" s="2">
        <v>128</v>
      </c>
      <c r="B129" t="s">
        <v>2596</v>
      </c>
      <c r="C129" t="s">
        <v>2597</v>
      </c>
      <c r="D129" s="2">
        <v>25</v>
      </c>
      <c r="E129" s="2">
        <v>14</v>
      </c>
      <c r="F129" s="3" t="str">
        <f>HYPERLINK("http://www.sah.co.rs/lm30-3010pc.html?___store=serbian"," Pogledajte proizvod na sajtu -&gt;")</f>
        <v> Pogledajte proizvod na sajtu -&gt;</v>
      </c>
    </row>
    <row r="130" spans="1:6" ht="12.75">
      <c r="A130" s="2">
        <v>129</v>
      </c>
      <c r="B130" t="s">
        <v>2598</v>
      </c>
      <c r="C130" t="s">
        <v>2599</v>
      </c>
      <c r="D130" s="2">
        <v>41</v>
      </c>
      <c r="E130" s="2">
        <v>14</v>
      </c>
      <c r="F130" s="3" t="str">
        <f>HYPERLINK("http://www.sah.co.rs/lm30-3015pc.html?___store=serbian"," Pogledajte proizvod na sajtu -&gt;")</f>
        <v> Pogledajte proizvod na sajtu -&gt;</v>
      </c>
    </row>
    <row r="131" spans="1:6" ht="12.75">
      <c r="A131" s="2">
        <v>130</v>
      </c>
      <c r="B131" t="s">
        <v>2600</v>
      </c>
      <c r="C131" t="s">
        <v>2601</v>
      </c>
      <c r="D131" s="2">
        <v>12</v>
      </c>
      <c r="E131" s="2">
        <v>12</v>
      </c>
      <c r="F131" s="3" t="str">
        <f>HYPERLINK("http://www.sah.co.rs/lm30-3010pa.html?___store=serbian"," Pogledajte proizvod na sajtu -&gt;")</f>
        <v> Pogledajte proizvod na sajtu -&gt;</v>
      </c>
    </row>
    <row r="132" spans="1:6" ht="12.75">
      <c r="A132" s="2">
        <v>131</v>
      </c>
      <c r="B132" t="s">
        <v>2602</v>
      </c>
      <c r="C132" t="s">
        <v>2603</v>
      </c>
      <c r="D132" s="2">
        <v>54</v>
      </c>
      <c r="E132" s="2">
        <v>12</v>
      </c>
      <c r="F132" s="3" t="str">
        <f>HYPERLINK("http://www.sah.co.rs/lm30-3015pa.html?___store=serbian"," Pogledajte proizvod na sajtu -&gt;")</f>
        <v> Pogledajte proizvod na sajtu -&gt;</v>
      </c>
    </row>
    <row r="133" spans="1:6" ht="12.75">
      <c r="A133" s="2">
        <v>132</v>
      </c>
      <c r="B133" t="s">
        <v>2604</v>
      </c>
      <c r="C133" t="s">
        <v>2605</v>
      </c>
      <c r="D133" s="2">
        <v>68</v>
      </c>
      <c r="E133" s="2">
        <v>22</v>
      </c>
      <c r="F133" s="3" t="str">
        <f>HYPERLINK("http://www.sah.co.rs/lm30-33025pa-l.html?___store=serbian"," Pogledajte proizvod na sajtu -&gt;")</f>
        <v> Pogledajte proizvod na sajtu -&gt;</v>
      </c>
    </row>
    <row r="134" spans="1:6" ht="12.75">
      <c r="A134" s="2">
        <v>133</v>
      </c>
      <c r="B134" t="s">
        <v>2606</v>
      </c>
      <c r="C134" t="s">
        <v>2607</v>
      </c>
      <c r="D134" s="2">
        <v>43</v>
      </c>
      <c r="E134" s="2">
        <v>18</v>
      </c>
      <c r="F134" s="3" t="str">
        <f>HYPERLINK("http://www.sah.co.rs/lm30-3015pat.html?___store=serbian"," Pogledajte proizvod na sajtu -&gt;")</f>
        <v> Pogledajte proizvod na sajtu -&gt;</v>
      </c>
    </row>
    <row r="135" spans="1:6" ht="12.75">
      <c r="A135" s="2">
        <v>134</v>
      </c>
      <c r="B135" t="s">
        <v>2608</v>
      </c>
      <c r="C135" t="s">
        <v>2609</v>
      </c>
      <c r="D135" s="2">
        <v>14</v>
      </c>
      <c r="E135" s="2">
        <v>15</v>
      </c>
      <c r="F135" s="3" t="str">
        <f>HYPERLINK("http://www.sah.co.rs/lm30-2010b.html?___store=serbian"," Pogledajte proizvod na sajtu -&gt;")</f>
        <v> Pogledajte proizvod na sajtu -&gt;</v>
      </c>
    </row>
    <row r="136" spans="1:6" ht="12.75">
      <c r="A136" s="2">
        <v>135</v>
      </c>
      <c r="B136" t="s">
        <v>2610</v>
      </c>
      <c r="C136" t="s">
        <v>2611</v>
      </c>
      <c r="D136" s="2">
        <v>32</v>
      </c>
      <c r="E136" s="2">
        <v>15</v>
      </c>
      <c r="F136" s="3" t="str">
        <f>HYPERLINK("http://www.sah.co.rs/lm30-2015b.html?___store=serbian"," Pogledajte proizvod na sajtu -&gt;")</f>
        <v> Pogledajte proizvod na sajtu -&gt;</v>
      </c>
    </row>
    <row r="137" spans="1:6" ht="12.75">
      <c r="A137" s="2">
        <v>136</v>
      </c>
      <c r="B137" t="s">
        <v>2612</v>
      </c>
      <c r="C137" t="s">
        <v>2613</v>
      </c>
      <c r="D137" s="2">
        <v>0</v>
      </c>
      <c r="E137" s="2">
        <v>16</v>
      </c>
      <c r="F137" s="3" t="str">
        <f>HYPERLINK("http://www.sah.co.rs/lm30-2010c.html?___store=serbian"," Pogledajte proizvod na sajtu -&gt;")</f>
        <v> Pogledajte proizvod na sajtu -&gt;</v>
      </c>
    </row>
    <row r="138" spans="1:6" ht="12.75">
      <c r="A138" s="2">
        <v>137</v>
      </c>
      <c r="B138" t="s">
        <v>2614</v>
      </c>
      <c r="C138" t="s">
        <v>2615</v>
      </c>
      <c r="D138" s="2">
        <v>28</v>
      </c>
      <c r="E138" s="2">
        <v>16</v>
      </c>
      <c r="F138" s="3" t="str">
        <f>HYPERLINK("http://www.sah.co.rs/lm30-2015c.html?___store=serbian"," Pogledajte proizvod na sajtu -&gt;")</f>
        <v> Pogledajte proizvod na sajtu -&gt;</v>
      </c>
    </row>
    <row r="139" spans="1:6" ht="12.75">
      <c r="A139" s="2">
        <v>138</v>
      </c>
      <c r="B139" t="s">
        <v>2616</v>
      </c>
      <c r="C139" t="s">
        <v>2617</v>
      </c>
      <c r="D139" s="2">
        <v>60</v>
      </c>
      <c r="E139" s="2">
        <v>15</v>
      </c>
      <c r="F139" s="3" t="str">
        <f>HYPERLINK("http://www.sah.co.rs/lm30-2010a.html?___store=serbian"," Pogledajte proizvod na sajtu -&gt;")</f>
        <v> Pogledajte proizvod na sajtu -&gt;</v>
      </c>
    </row>
    <row r="140" spans="1:6" ht="12.75">
      <c r="A140" s="2">
        <v>139</v>
      </c>
      <c r="B140" t="s">
        <v>2618</v>
      </c>
      <c r="C140" t="s">
        <v>2619</v>
      </c>
      <c r="D140" s="2">
        <v>41</v>
      </c>
      <c r="E140" s="2">
        <v>15</v>
      </c>
      <c r="F140" s="3" t="str">
        <f>HYPERLINK("http://www.sah.co.rs/lm30-2015a.html?___store=serbian"," Pogledajte proizvod na sajtu -&gt;")</f>
        <v> Pogledajte proizvod na sajtu -&gt;</v>
      </c>
    </row>
    <row r="141" spans="1:6" ht="12.75">
      <c r="A141" s="2">
        <v>140</v>
      </c>
      <c r="B141" t="s">
        <v>2620</v>
      </c>
      <c r="C141" t="s">
        <v>2621</v>
      </c>
      <c r="D141" s="2">
        <v>28</v>
      </c>
      <c r="E141" s="2">
        <v>14</v>
      </c>
      <c r="F141" s="3" t="str">
        <f>HYPERLINK("http://www.sah.co.rs/lm480-3025na.html?___store=serbian"," Pogledajte proizvod na sajtu -&gt;")</f>
        <v> Pogledajte proizvod na sajtu -&gt;</v>
      </c>
    </row>
    <row r="142" spans="1:6" ht="12.75">
      <c r="A142" s="2">
        <v>141</v>
      </c>
      <c r="B142" t="s">
        <v>2622</v>
      </c>
      <c r="C142" t="s">
        <v>2623</v>
      </c>
      <c r="D142" s="2">
        <v>46</v>
      </c>
      <c r="E142" s="2">
        <v>14</v>
      </c>
      <c r="F142" s="3" t="str">
        <f>HYPERLINK("http://www.sah.co.rs/lm480-3025pa.html?___store=serbian"," Pogledajte proizvod na sajtu -&gt;")</f>
        <v> Pogledajte proizvod na sajtu -&gt;</v>
      </c>
    </row>
    <row r="143" spans="1:6" ht="12.75">
      <c r="A143" s="2">
        <v>142</v>
      </c>
      <c r="B143" t="s">
        <v>2624</v>
      </c>
      <c r="C143" t="s">
        <v>2625</v>
      </c>
      <c r="D143" s="2">
        <v>57</v>
      </c>
      <c r="E143" s="2">
        <v>15</v>
      </c>
      <c r="F143" s="3" t="str">
        <f>HYPERLINK("http://www.sah.co.rs/lm480-2025a.html?___store=serbian"," Pogledajte proizvod na sajtu -&gt;")</f>
        <v> Pogledajte proizvod na sajtu -&gt;</v>
      </c>
    </row>
    <row r="144" spans="1:6" ht="12.75">
      <c r="A144" s="2">
        <v>143</v>
      </c>
      <c r="B144" t="s">
        <v>2626</v>
      </c>
      <c r="C144" t="s">
        <v>2627</v>
      </c>
      <c r="D144" s="2">
        <v>55</v>
      </c>
      <c r="E144" s="2">
        <v>18</v>
      </c>
      <c r="F144" s="3" t="str">
        <f>HYPERLINK("http://www.sah.co.rs/lm05-3001na.html?___store=serbian"," Pogledajte proizvod na sajtu -&gt;")</f>
        <v> Pogledajte proizvod na sajtu -&gt;</v>
      </c>
    </row>
    <row r="145" spans="1:6" ht="12.75">
      <c r="A145" s="2">
        <v>144</v>
      </c>
      <c r="B145" t="s">
        <v>2628</v>
      </c>
      <c r="C145" t="s">
        <v>2629</v>
      </c>
      <c r="D145" s="2">
        <v>74</v>
      </c>
      <c r="E145" s="2">
        <v>18</v>
      </c>
      <c r="F145" s="3" t="str">
        <f>HYPERLINK("http://www.sah.co.rs/lm05-3001pa.html?___store=serbian"," Pogledajte proizvod na sajtu -&gt;")</f>
        <v> Pogledajte proizvod na sajtu -&gt;</v>
      </c>
    </row>
    <row r="146" spans="1:6" ht="12.75">
      <c r="A146" s="2">
        <v>145</v>
      </c>
      <c r="B146" t="s">
        <v>2630</v>
      </c>
      <c r="C146" t="s">
        <v>2631</v>
      </c>
      <c r="D146" s="2">
        <v>11</v>
      </c>
      <c r="E146" s="2">
        <v>16</v>
      </c>
      <c r="F146" s="3" t="str">
        <f>HYPERLINK("http://www.sah.co.rs/lm6-3001na.html?___store=serbian"," Pogledajte proizvod na sajtu -&gt;")</f>
        <v> Pogledajte proizvod na sajtu -&gt;</v>
      </c>
    </row>
    <row r="147" spans="1:6" ht="12.75">
      <c r="A147" s="2">
        <v>146</v>
      </c>
      <c r="B147" t="s">
        <v>2632</v>
      </c>
      <c r="C147" t="s">
        <v>2633</v>
      </c>
      <c r="D147" s="2">
        <v>5</v>
      </c>
      <c r="E147" s="2">
        <v>16</v>
      </c>
      <c r="F147" s="3" t="str">
        <f>HYPERLINK("http://www.sah.co.rs/lm06-3001na.html?___store=serbian"," Pogledajte proizvod na sajtu -&gt;")</f>
        <v> Pogledajte proizvod na sajtu -&gt;</v>
      </c>
    </row>
    <row r="148" spans="1:6" ht="12.75">
      <c r="A148" s="2">
        <v>147</v>
      </c>
      <c r="B148" t="s">
        <v>2634</v>
      </c>
      <c r="C148" t="s">
        <v>2635</v>
      </c>
      <c r="D148" s="2">
        <v>55</v>
      </c>
      <c r="E148" s="2">
        <v>12</v>
      </c>
      <c r="F148" s="3" t="str">
        <f>HYPERLINK("http://www.sah.co.rs/lm6-3002na.html?___store=serbian"," Pogledajte proizvod na sajtu -&gt;")</f>
        <v> Pogledajte proizvod na sajtu -&gt;</v>
      </c>
    </row>
    <row r="149" spans="1:6" ht="12.75">
      <c r="A149" s="2">
        <v>148</v>
      </c>
      <c r="B149" t="s">
        <v>2636</v>
      </c>
      <c r="C149" t="s">
        <v>2637</v>
      </c>
      <c r="D149" s="2">
        <v>20</v>
      </c>
      <c r="E149" s="2">
        <v>16</v>
      </c>
      <c r="F149" s="3" t="str">
        <f>HYPERLINK("http://www.sah.co.rs/lm6-3001pa.html?___store=serbian"," Pogledajte proizvod na sajtu -&gt;")</f>
        <v> Pogledajte proizvod na sajtu -&gt;</v>
      </c>
    </row>
    <row r="150" spans="1:6" ht="12.75">
      <c r="A150" s="2">
        <v>149</v>
      </c>
      <c r="B150" t="s">
        <v>2638</v>
      </c>
      <c r="C150" t="s">
        <v>2639</v>
      </c>
      <c r="D150" s="2">
        <v>48</v>
      </c>
      <c r="E150" s="2">
        <v>16</v>
      </c>
      <c r="F150" s="3" t="str">
        <f>HYPERLINK("http://www.sah.co.rs/lm06-3001pa.html?___store=serbian"," Pogledajte proizvod na sajtu -&gt;")</f>
        <v> Pogledajte proizvod na sajtu -&gt;</v>
      </c>
    </row>
    <row r="151" spans="1:6" ht="12.75">
      <c r="A151" s="2">
        <v>150</v>
      </c>
      <c r="B151" t="s">
        <v>2640</v>
      </c>
      <c r="C151" t="s">
        <v>2641</v>
      </c>
      <c r="D151" s="2">
        <v>45</v>
      </c>
      <c r="E151" s="2">
        <v>12</v>
      </c>
      <c r="F151" s="3" t="str">
        <f>HYPERLINK("http://www.sah.co.rs/lm6-3002pa.html?___store=serbian"," Pogledajte proizvod na sajtu -&gt;")</f>
        <v> Pogledajte proizvod na sajtu -&gt;</v>
      </c>
    </row>
    <row r="152" spans="1:6" ht="12.75">
      <c r="A152" s="2">
        <v>151</v>
      </c>
      <c r="B152" t="s">
        <v>2642</v>
      </c>
      <c r="C152" t="s">
        <v>2643</v>
      </c>
      <c r="D152" s="2">
        <v>31</v>
      </c>
      <c r="E152" s="2">
        <v>12</v>
      </c>
      <c r="F152" s="3" t="str">
        <f>HYPERLINK("http://www.sah.co.rs/lm08-3001na.html?___store=serbian"," Pogledajte proizvod na sajtu -&gt;")</f>
        <v> Pogledajte proizvod na sajtu -&gt;</v>
      </c>
    </row>
    <row r="153" spans="1:6" ht="12.75">
      <c r="A153" s="2">
        <v>152</v>
      </c>
      <c r="B153" t="s">
        <v>2644</v>
      </c>
      <c r="C153" t="s">
        <v>2645</v>
      </c>
      <c r="D153" s="2">
        <v>11</v>
      </c>
      <c r="E153" s="2">
        <v>12</v>
      </c>
      <c r="F153" s="3" t="str">
        <f>HYPERLINK("http://www.sah.co.rs/lm08-3002na.html?___store=serbian"," Pogledajte proizvod na sajtu -&gt;")</f>
        <v> Pogledajte proizvod na sajtu -&gt;</v>
      </c>
    </row>
    <row r="154" spans="1:6" ht="12.75">
      <c r="A154" s="2">
        <v>153</v>
      </c>
      <c r="B154" t="s">
        <v>2646</v>
      </c>
      <c r="C154" t="s">
        <v>2647</v>
      </c>
      <c r="D154" s="2">
        <v>39</v>
      </c>
      <c r="E154" s="2">
        <v>12</v>
      </c>
      <c r="F154" s="3" t="str">
        <f>HYPERLINK("http://www.sah.co.rs/lm08-3001pa.html?___store=serbian"," Pogledajte proizvod na sajtu -&gt;")</f>
        <v> Pogledajte proizvod na sajtu -&gt;</v>
      </c>
    </row>
    <row r="155" spans="1:6" ht="12.75">
      <c r="A155" s="2">
        <v>154</v>
      </c>
      <c r="B155" t="s">
        <v>2648</v>
      </c>
      <c r="C155" t="s">
        <v>2649</v>
      </c>
      <c r="D155" s="2">
        <v>50</v>
      </c>
      <c r="E155" s="2">
        <v>12</v>
      </c>
      <c r="F155" s="3" t="str">
        <f>HYPERLINK("http://www.sah.co.rs/lm08-3002pa.html?___store=serbian"," Pogledajte proizvod na sajtu -&gt;")</f>
        <v> Pogledajte proizvod na sajtu -&gt;</v>
      </c>
    </row>
    <row r="156" spans="1:6" ht="12.75">
      <c r="A156" s="2">
        <v>155</v>
      </c>
      <c r="B156" t="s">
        <v>2650</v>
      </c>
      <c r="C156" t="s">
        <v>2651</v>
      </c>
      <c r="D156" s="2">
        <v>43</v>
      </c>
      <c r="E156" s="2">
        <v>20</v>
      </c>
      <c r="F156" s="3" t="str">
        <f>HYPERLINK("http://www.sah.co.rs/lm08-33004pa-l.html?___store=serbian"," Pogledajte proizvod na sajtu -&gt;")</f>
        <v> Pogledajte proizvod na sajtu -&gt;</v>
      </c>
    </row>
    <row r="157" spans="1:6" ht="12.75">
      <c r="A157" s="2">
        <v>156</v>
      </c>
      <c r="B157" t="s">
        <v>2652</v>
      </c>
      <c r="C157" t="s">
        <v>2653</v>
      </c>
      <c r="D157" s="2">
        <v>62</v>
      </c>
      <c r="E157" s="2">
        <v>14</v>
      </c>
      <c r="F157" s="3" t="str">
        <f>HYPERLINK("http://www.sah.co.rs/lm08-2002a.html?___store=serbian"," Pogledajte proizvod na sajtu -&gt;")</f>
        <v> Pogledajte proizvod na sajtu -&gt;</v>
      </c>
    </row>
    <row r="158" spans="1:6" ht="12.75">
      <c r="A158" s="2">
        <v>157</v>
      </c>
      <c r="B158" t="s">
        <v>2654</v>
      </c>
      <c r="C158" t="s">
        <v>2655</v>
      </c>
      <c r="D158" s="2">
        <v>44</v>
      </c>
      <c r="E158" s="2">
        <v>12</v>
      </c>
      <c r="F158" s="3" t="str">
        <f>HYPERLINK("http://www.sah.co.rs/fs-ir02.html?___store=serbian"," Pogledajte proizvod na sajtu -&gt;")</f>
        <v> Pogledajte proizvod na sajtu -&gt;</v>
      </c>
    </row>
    <row r="159" spans="1:6" ht="12.75">
      <c r="A159" s="2">
        <v>158</v>
      </c>
      <c r="B159" t="s">
        <v>2656</v>
      </c>
      <c r="C159" t="s">
        <v>2657</v>
      </c>
      <c r="D159" s="2">
        <v>16</v>
      </c>
      <c r="E159" s="2">
        <v>20</v>
      </c>
      <c r="F159" s="3" t="str">
        <f>HYPERLINK("http://www.sah.co.rs/cm12-3002na.html?___store=serbian"," Pogledajte proizvod na sajtu -&gt;")</f>
        <v> Pogledajte proizvod na sajtu -&gt;</v>
      </c>
    </row>
    <row r="160" spans="1:6" ht="12.75">
      <c r="A160" s="2">
        <v>159</v>
      </c>
      <c r="B160" t="s">
        <v>2658</v>
      </c>
      <c r="C160" t="s">
        <v>2659</v>
      </c>
      <c r="D160" s="2">
        <v>14</v>
      </c>
      <c r="E160" s="2">
        <v>20</v>
      </c>
      <c r="F160" s="3" t="str">
        <f>HYPERLINK("http://www.sah.co.rs/cm12-3004na.html?___store=serbian"," Pogledajte proizvod na sajtu -&gt;")</f>
        <v> Pogledajte proizvod na sajtu -&gt;</v>
      </c>
    </row>
    <row r="161" spans="1:6" ht="12.75">
      <c r="A161" s="2">
        <v>160</v>
      </c>
      <c r="B161" t="s">
        <v>2660</v>
      </c>
      <c r="C161" t="s">
        <v>2661</v>
      </c>
      <c r="D161" s="2">
        <v>0</v>
      </c>
      <c r="E161" s="2">
        <v>20</v>
      </c>
      <c r="F161" s="3" t="str">
        <f>HYPERLINK("http://www.sah.co.rs/cm12-3002pa.html?___store=serbian"," Pogledajte proizvod na sajtu -&gt;")</f>
        <v> Pogledajte proizvod na sajtu -&gt;</v>
      </c>
    </row>
    <row r="162" spans="1:6" ht="12.75">
      <c r="A162" s="2">
        <v>161</v>
      </c>
      <c r="B162" t="s">
        <v>2662</v>
      </c>
      <c r="C162" t="s">
        <v>2663</v>
      </c>
      <c r="D162" s="2">
        <v>75</v>
      </c>
      <c r="E162" s="2">
        <v>20</v>
      </c>
      <c r="F162" s="3" t="str">
        <f>HYPERLINK("http://www.sah.co.rs/cm12-3004pa.html?___store=serbian"," Pogledajte proizvod na sajtu -&gt;")</f>
        <v> Pogledajte proizvod na sajtu -&gt;</v>
      </c>
    </row>
    <row r="163" spans="1:6" ht="12.75">
      <c r="A163" s="2">
        <v>162</v>
      </c>
      <c r="B163" t="s">
        <v>2664</v>
      </c>
      <c r="C163" t="s">
        <v>2665</v>
      </c>
      <c r="D163" s="2">
        <v>48</v>
      </c>
      <c r="E163" s="2">
        <v>20</v>
      </c>
      <c r="F163" s="3" t="str">
        <f>HYPERLINK("http://www.sah.co.rs/cm18-3005nc.html?___store=serbian"," Pogledajte proizvod na sajtu -&gt;")</f>
        <v> Pogledajte proizvod na sajtu -&gt;</v>
      </c>
    </row>
    <row r="164" spans="1:6" ht="12.75">
      <c r="A164" s="2">
        <v>163</v>
      </c>
      <c r="B164" t="s">
        <v>2666</v>
      </c>
      <c r="C164" t="s">
        <v>2667</v>
      </c>
      <c r="D164" s="2">
        <v>77</v>
      </c>
      <c r="E164" s="2">
        <v>18</v>
      </c>
      <c r="F164" s="3" t="str">
        <f>HYPERLINK("http://www.sah.co.rs/cm18-3005na.html?___store=serbian"," Pogledajte proizvod na sajtu -&gt;")</f>
        <v> Pogledajte proizvod na sajtu -&gt;</v>
      </c>
    </row>
    <row r="165" spans="1:6" ht="12.75">
      <c r="A165" s="2">
        <v>164</v>
      </c>
      <c r="B165" t="s">
        <v>2668</v>
      </c>
      <c r="C165" t="s">
        <v>2669</v>
      </c>
      <c r="D165" s="2">
        <v>24</v>
      </c>
      <c r="E165" s="2">
        <v>18</v>
      </c>
      <c r="F165" s="3" t="str">
        <f>HYPERLINK("http://www.sah.co.rs/cm18-3008na.html?___store=serbian"," Pogledajte proizvod na sajtu -&gt;")</f>
        <v> Pogledajte proizvod na sajtu -&gt;</v>
      </c>
    </row>
    <row r="166" spans="1:6" ht="12.75">
      <c r="A166" s="2">
        <v>165</v>
      </c>
      <c r="B166" t="s">
        <v>2670</v>
      </c>
      <c r="C166" t="s">
        <v>2671</v>
      </c>
      <c r="D166" s="2">
        <v>42</v>
      </c>
      <c r="E166" s="2">
        <v>20</v>
      </c>
      <c r="F166" s="3" t="str">
        <f>HYPERLINK("http://www.sah.co.rs/cm18-3005pc.html?___store=serbian"," Pogledajte proizvod na sajtu -&gt;")</f>
        <v> Pogledajte proizvod na sajtu -&gt;</v>
      </c>
    </row>
    <row r="167" spans="1:6" ht="12.75">
      <c r="A167" s="2">
        <v>166</v>
      </c>
      <c r="B167" t="s">
        <v>2672</v>
      </c>
      <c r="C167" t="s">
        <v>2673</v>
      </c>
      <c r="D167" s="2">
        <v>28</v>
      </c>
      <c r="E167" s="2">
        <v>20</v>
      </c>
      <c r="F167" s="3" t="str">
        <f>HYPERLINK("http://www.sah.co.rs/cm18-3008pc.html?___store=serbian"," Pogledajte proizvod na sajtu -&gt;")</f>
        <v> Pogledajte proizvod na sajtu -&gt;</v>
      </c>
    </row>
    <row r="168" spans="1:6" ht="12.75">
      <c r="A168" s="2">
        <v>167</v>
      </c>
      <c r="B168" t="s">
        <v>2674</v>
      </c>
      <c r="C168" t="s">
        <v>2675</v>
      </c>
      <c r="D168" s="2">
        <v>67</v>
      </c>
      <c r="E168" s="2">
        <v>18</v>
      </c>
      <c r="F168" s="3" t="str">
        <f>HYPERLINK("http://www.sah.co.rs/cm18-3005pa.html?___store=serbian"," Pogledajte proizvod na sajtu -&gt;")</f>
        <v> Pogledajte proizvod na sajtu -&gt;</v>
      </c>
    </row>
    <row r="169" spans="1:6" ht="12.75">
      <c r="A169" s="2">
        <v>168</v>
      </c>
      <c r="B169" t="s">
        <v>2676</v>
      </c>
      <c r="C169" t="s">
        <v>2677</v>
      </c>
      <c r="D169" s="2">
        <v>5</v>
      </c>
      <c r="E169" s="2">
        <v>18</v>
      </c>
      <c r="F169" s="3" t="str">
        <f>HYPERLINK("http://www.sah.co.rs/cm18-3008pa.html?___store=serbian"," Pogledajte proizvod na sajtu -&gt;")</f>
        <v> Pogledajte proizvod na sajtu -&gt;</v>
      </c>
    </row>
    <row r="170" spans="1:6" ht="12.75">
      <c r="A170" s="2">
        <v>169</v>
      </c>
      <c r="B170" t="s">
        <v>2678</v>
      </c>
      <c r="C170" t="s">
        <v>2679</v>
      </c>
      <c r="D170" s="2">
        <v>45</v>
      </c>
      <c r="E170" s="2">
        <v>20</v>
      </c>
      <c r="F170" s="3" t="str">
        <f>HYPERLINK("http://www.sah.co.rs/cm18-2005b.html?___store=serbian"," Pogledajte proizvod na sajtu -&gt;")</f>
        <v> Pogledajte proizvod na sajtu -&gt;</v>
      </c>
    </row>
    <row r="171" spans="1:6" ht="12.75">
      <c r="A171" s="2">
        <v>170</v>
      </c>
      <c r="B171" t="s">
        <v>2680</v>
      </c>
      <c r="C171" t="s">
        <v>2681</v>
      </c>
      <c r="D171" s="2">
        <v>5</v>
      </c>
      <c r="E171" s="2">
        <v>20</v>
      </c>
      <c r="F171" s="3" t="str">
        <f>HYPERLINK("http://www.sah.co.rs/cm18-2008b.html?___store=serbian"," Pogledajte proizvod na sajtu -&gt;")</f>
        <v> Pogledajte proizvod na sajtu -&gt;</v>
      </c>
    </row>
    <row r="172" spans="1:6" ht="12.75">
      <c r="A172" s="2">
        <v>171</v>
      </c>
      <c r="B172" t="s">
        <v>2682</v>
      </c>
      <c r="C172" t="s">
        <v>2683</v>
      </c>
      <c r="D172" s="2">
        <v>28</v>
      </c>
      <c r="E172" s="2">
        <v>20</v>
      </c>
      <c r="F172" s="3" t="str">
        <f>HYPERLINK("http://www.sah.co.rs/cm18-2005a.html?___store=serbian"," Pogledajte proizvod na sajtu -&gt;")</f>
        <v> Pogledajte proizvod na sajtu -&gt;</v>
      </c>
    </row>
    <row r="173" spans="1:6" ht="12.75">
      <c r="A173" s="2">
        <v>172</v>
      </c>
      <c r="B173" t="s">
        <v>2684</v>
      </c>
      <c r="C173" t="s">
        <v>2685</v>
      </c>
      <c r="D173" s="2">
        <v>60</v>
      </c>
      <c r="E173" s="2">
        <v>20</v>
      </c>
      <c r="F173" s="3" t="str">
        <f>HYPERLINK("http://www.sah.co.rs/cm18-2008a.html?___store=serbian"," Pogledajte proizvod na sajtu -&gt;")</f>
        <v> Pogledajte proizvod na sajtu -&gt;</v>
      </c>
    </row>
    <row r="174" spans="1:6" ht="12.75">
      <c r="A174" s="2">
        <v>173</v>
      </c>
      <c r="B174" t="s">
        <v>2686</v>
      </c>
      <c r="C174" t="s">
        <v>2687</v>
      </c>
      <c r="D174" s="2">
        <v>55</v>
      </c>
      <c r="E174" s="2">
        <v>20</v>
      </c>
      <c r="F174" s="3" t="str">
        <f>HYPERLINK("http://www.sah.co.rs/cm30-3010na.html?___store=serbian"," Pogledajte proizvod na sajtu -&gt;")</f>
        <v> Pogledajte proizvod na sajtu -&gt;</v>
      </c>
    </row>
    <row r="175" spans="1:6" ht="12.75">
      <c r="A175" s="2">
        <v>174</v>
      </c>
      <c r="B175" t="s">
        <v>2688</v>
      </c>
      <c r="C175" t="s">
        <v>2689</v>
      </c>
      <c r="D175" s="2">
        <v>73</v>
      </c>
      <c r="E175" s="2">
        <v>20</v>
      </c>
      <c r="F175" s="3" t="str">
        <f>HYPERLINK("http://www.sah.co.rs/cm30-3015na.html?___store=serbian"," Pogledajte proizvod na sajtu -&gt;")</f>
        <v> Pogledajte proizvod na sajtu -&gt;</v>
      </c>
    </row>
    <row r="176" spans="1:6" ht="12.75">
      <c r="A176" s="2">
        <v>175</v>
      </c>
      <c r="B176" t="s">
        <v>2690</v>
      </c>
      <c r="C176" t="s">
        <v>2691</v>
      </c>
      <c r="D176" s="2">
        <v>60</v>
      </c>
      <c r="E176" s="2">
        <v>20</v>
      </c>
      <c r="F176" s="3" t="str">
        <f>HYPERLINK("http://www.sah.co.rs/cm30-3010pa.html?___store=serbian"," Pogledajte proizvod na sajtu -&gt;")</f>
        <v> Pogledajte proizvod na sajtu -&gt;</v>
      </c>
    </row>
    <row r="177" spans="1:6" ht="12.75">
      <c r="A177" s="2">
        <v>176</v>
      </c>
      <c r="B177" t="s">
        <v>2692</v>
      </c>
      <c r="C177" t="s">
        <v>2693</v>
      </c>
      <c r="D177" s="2">
        <v>45</v>
      </c>
      <c r="E177" s="2">
        <v>20</v>
      </c>
      <c r="F177" s="3" t="str">
        <f>HYPERLINK("http://www.sah.co.rs/cm30-3015pa.html?___store=serbian"," Pogledajte proizvod na sajtu -&gt;")</f>
        <v> Pogledajte proizvod na sajtu -&gt;</v>
      </c>
    </row>
    <row r="178" spans="1:6" ht="12.75">
      <c r="A178" s="2">
        <v>177</v>
      </c>
      <c r="B178" t="s">
        <v>2694</v>
      </c>
      <c r="C178" t="s">
        <v>2695</v>
      </c>
      <c r="D178" s="2">
        <v>35</v>
      </c>
      <c r="E178" s="2">
        <v>22</v>
      </c>
      <c r="F178" s="3" t="str">
        <f>HYPERLINK("http://www.sah.co.rs/cm30-2010b.html?___store=serbian"," Pogledajte proizvod na sajtu -&gt;")</f>
        <v> Pogledajte proizvod na sajtu -&gt;</v>
      </c>
    </row>
    <row r="179" spans="1:6" ht="12.75">
      <c r="A179" s="2">
        <v>178</v>
      </c>
      <c r="B179" t="s">
        <v>2696</v>
      </c>
      <c r="C179" t="s">
        <v>2697</v>
      </c>
      <c r="D179" s="2">
        <v>28</v>
      </c>
      <c r="E179" s="2">
        <v>22</v>
      </c>
      <c r="F179" s="3" t="str">
        <f>HYPERLINK("http://www.sah.co.rs/cm30-2015b.html?___store=serbian"," Pogledajte proizvod na sajtu -&gt;")</f>
        <v> Pogledajte proizvod na sajtu -&gt;</v>
      </c>
    </row>
    <row r="180" spans="1:6" ht="12.75">
      <c r="A180" s="2">
        <v>179</v>
      </c>
      <c r="B180" t="s">
        <v>2698</v>
      </c>
      <c r="C180" t="s">
        <v>2699</v>
      </c>
      <c r="D180" s="2">
        <v>50</v>
      </c>
      <c r="E180" s="2">
        <v>22</v>
      </c>
      <c r="F180" s="3" t="str">
        <f>HYPERLINK("http://www.sah.co.rs/cm30-2010a.html?___store=serbian"," Pogledajte proizvod na sajtu -&gt;")</f>
        <v> Pogledajte proizvod na sajtu -&gt;</v>
      </c>
    </row>
    <row r="181" spans="1:6" ht="12.75">
      <c r="A181" s="2">
        <v>180</v>
      </c>
      <c r="B181" t="s">
        <v>2700</v>
      </c>
      <c r="C181" t="s">
        <v>2701</v>
      </c>
      <c r="D181" s="2">
        <v>28</v>
      </c>
      <c r="E181" s="2">
        <v>22</v>
      </c>
      <c r="F181" s="3" t="str">
        <f>HYPERLINK("http://www.sah.co.rs/cm30-2015a.html?___store=serbian"," Pogledajte proizvod na sajtu -&gt;")</f>
        <v> Pogledajte proizvod na sajtu -&gt;</v>
      </c>
    </row>
    <row r="182" spans="1:6" ht="12.75">
      <c r="A182" s="2">
        <v>181</v>
      </c>
      <c r="B182" t="s">
        <v>2702</v>
      </c>
      <c r="C182" t="s">
        <v>2703</v>
      </c>
      <c r="D182" s="2">
        <v>8</v>
      </c>
      <c r="E182" s="2">
        <v>65</v>
      </c>
      <c r="F182" s="3" t="str">
        <f>HYPERLINK("http://www.sah.co.rs/ks-c2-beli-npn.html?___store=serbian"," Pogledajte proizvod na sajtu -&gt;")</f>
        <v> Pogledajte proizvod na sajtu -&gt;</v>
      </c>
    </row>
    <row r="183" spans="1:6" ht="12.75">
      <c r="A183" s="2">
        <v>182</v>
      </c>
      <c r="B183" t="s">
        <v>2704</v>
      </c>
      <c r="C183" t="s">
        <v>2705</v>
      </c>
      <c r="D183" s="2">
        <v>37</v>
      </c>
      <c r="E183" s="2">
        <v>65</v>
      </c>
      <c r="F183" s="3" t="str">
        <f>HYPERLINK("http://www.sah.co.rs/ks-c2-beli-pnp.html?___store=serbian"," Pogledajte proizvod na sajtu -&gt;")</f>
        <v> Pogledajte proizvod na sajtu -&gt;</v>
      </c>
    </row>
    <row r="184" spans="1:6" ht="12.75">
      <c r="A184" s="2">
        <v>183</v>
      </c>
      <c r="B184" t="s">
        <v>2706</v>
      </c>
      <c r="C184" t="s">
        <v>2707</v>
      </c>
      <c r="D184" s="2">
        <v>0</v>
      </c>
      <c r="E184" s="2">
        <v>65</v>
      </c>
      <c r="F184" s="3" t="str">
        <f>HYPERLINK("http://www.sah.co.rs/ks-c2-plavi-pnp.html?___store=serbian"," Pogledajte proizvod na sajtu -&gt;")</f>
        <v> Pogledajte proizvod na sajtu -&gt;</v>
      </c>
    </row>
    <row r="185" spans="1:6" ht="12.75">
      <c r="A185" s="2">
        <v>184</v>
      </c>
      <c r="B185" t="s">
        <v>2708</v>
      </c>
      <c r="C185" t="s">
        <v>2709</v>
      </c>
      <c r="D185" s="2">
        <v>3</v>
      </c>
      <c r="E185" s="2">
        <v>200</v>
      </c>
      <c r="F185" s="3" t="str">
        <f>HYPERLINK("http://www.sah.co.rs/hw50-w-rgb-npn-pnp.html?___store=serbian"," Pogledajte proizvod na sajtu -&gt;")</f>
        <v> Pogledajte proizvod na sajtu -&gt;</v>
      </c>
    </row>
    <row r="186" spans="1:6" ht="12.75">
      <c r="A186" s="2">
        <v>185</v>
      </c>
      <c r="B186" t="s">
        <v>2710</v>
      </c>
      <c r="C186" t="s">
        <v>2711</v>
      </c>
      <c r="D186" s="2">
        <v>132</v>
      </c>
      <c r="E186" s="2">
        <v>65</v>
      </c>
      <c r="F186" s="3" t="str">
        <f>HYPERLINK("http://www.sah.co.rs/ks-c2-tw22-zeleni-ili-beli-pnp.html?___store=serbian"," Pogledajte proizvod na sajtu -&gt;")</f>
        <v> Pogledajte proizvod na sajtu -&gt;</v>
      </c>
    </row>
    <row r="187" spans="1:6" ht="12.75">
      <c r="A187" s="2">
        <v>186</v>
      </c>
      <c r="B187" t="s">
        <v>2712</v>
      </c>
      <c r="C187" t="s">
        <v>2713</v>
      </c>
      <c r="D187" s="2">
        <v>16</v>
      </c>
      <c r="E187" s="2">
        <v>65</v>
      </c>
      <c r="F187" s="3" t="str">
        <f>HYPERLINK("http://www.sah.co.rs/ks-c2-zeleni-npn.html?___store=serbian"," Pogledajte proizvod na sajtu -&gt;")</f>
        <v> Pogledajte proizvod na sajtu -&gt;</v>
      </c>
    </row>
    <row r="188" spans="1:6" ht="12.75">
      <c r="A188" s="2">
        <v>187</v>
      </c>
      <c r="B188" t="s">
        <v>2714</v>
      </c>
      <c r="C188" t="s">
        <v>2715</v>
      </c>
      <c r="D188" s="2">
        <v>0</v>
      </c>
      <c r="E188" s="2">
        <v>65</v>
      </c>
      <c r="F188" s="3" t="str">
        <f aca="true" t="shared" si="0" ref="F188:F189">HYPERLINK("http://www.sah.co.rs/ks-c2-zeleni-pnp.html?___store=serbian"," Pogledajte proizvod na sajtu -&gt;")</f>
        <v> Pogledajte proizvod na sajtu -&gt;</v>
      </c>
    </row>
    <row r="189" spans="1:6" ht="12.75">
      <c r="A189" s="2">
        <v>188</v>
      </c>
      <c r="B189" t="s">
        <v>2714</v>
      </c>
      <c r="C189" t="s">
        <v>2715</v>
      </c>
      <c r="D189" s="2">
        <v>12</v>
      </c>
      <c r="E189" s="2">
        <v>65</v>
      </c>
      <c r="F189" s="3" t="str">
        <f t="shared" si="0"/>
        <v> Pogledajte proizvod na sajtu -&gt;</v>
      </c>
    </row>
    <row r="190" spans="1:6" ht="12.75">
      <c r="A190" s="2">
        <v>189</v>
      </c>
      <c r="B190" t="s">
        <v>2716</v>
      </c>
      <c r="C190" t="s">
        <v>2717</v>
      </c>
      <c r="D190" s="2">
        <v>41</v>
      </c>
      <c r="E190" s="2">
        <v>25</v>
      </c>
      <c r="F190" s="3" t="str">
        <f>HYPERLINK("http://www.sah.co.rs/e3f-20c1-20l.html?___store=serbian"," Pogledajte proizvod na sajtu -&gt;")</f>
        <v> Pogledajte proizvod na sajtu -&gt;</v>
      </c>
    </row>
    <row r="191" spans="1:6" ht="12.75">
      <c r="A191" s="2">
        <v>190</v>
      </c>
      <c r="B191" t="s">
        <v>2718</v>
      </c>
      <c r="C191" t="s">
        <v>2719</v>
      </c>
      <c r="D191" s="2">
        <v>35</v>
      </c>
      <c r="E191" s="2">
        <v>20</v>
      </c>
      <c r="F191" s="3" t="str">
        <f>HYPERLINK("http://www.sah.co.rs/xm18-3008pmu.html?___store=serbian"," Pogledajte proizvod na sajtu -&gt;")</f>
        <v> Pogledajte proizvod na sajtu -&gt;</v>
      </c>
    </row>
    <row r="192" spans="1:6" ht="12.75">
      <c r="A192" s="2">
        <v>191</v>
      </c>
      <c r="B192" t="s">
        <v>2720</v>
      </c>
      <c r="C192" t="s">
        <v>2721</v>
      </c>
      <c r="D192" s="2">
        <v>35</v>
      </c>
      <c r="E192" s="2">
        <v>20</v>
      </c>
      <c r="F192" s="3" t="str">
        <f>HYPERLINK("http://www.sah.co.rs/xm18-3008pmi.html?___store=serbian"," Pogledajte proizvod na sajtu -&gt;")</f>
        <v> Pogledajte proizvod na sajtu -&gt;</v>
      </c>
    </row>
    <row r="193" spans="1:6" ht="12.75">
      <c r="A193" s="2">
        <v>192</v>
      </c>
      <c r="B193" t="s">
        <v>2722</v>
      </c>
      <c r="C193" t="s">
        <v>2723</v>
      </c>
      <c r="D193" s="2">
        <v>10</v>
      </c>
      <c r="E193" s="2">
        <v>30</v>
      </c>
      <c r="F193" s="3" t="str">
        <f>HYPERLINK("http://www.sah.co.rs/xm30-d6pmu15.html?___store=serbian"," Pogledajte proizvod na sajtu -&gt;")</f>
        <v> Pogledajte proizvod na sajtu -&gt;</v>
      </c>
    </row>
    <row r="194" spans="1:6" ht="12.75">
      <c r="A194" s="2">
        <v>193</v>
      </c>
      <c r="B194" t="s">
        <v>2724</v>
      </c>
      <c r="C194" t="s">
        <v>2725</v>
      </c>
      <c r="D194" s="2">
        <v>24</v>
      </c>
      <c r="E194" s="2">
        <v>20</v>
      </c>
      <c r="F194" s="3" t="str">
        <f>HYPERLINK("http://www.sah.co.rs/xm30-3015pmi.html?___store=serbian"," Pogledajte proizvod na sajtu -&gt;")</f>
        <v> Pogledajte proizvod na sajtu -&gt;</v>
      </c>
    </row>
    <row r="195" spans="1:6" ht="12.75">
      <c r="A195" s="2">
        <v>194</v>
      </c>
      <c r="B195" t="s">
        <v>2726</v>
      </c>
      <c r="C195" t="s">
        <v>2727</v>
      </c>
      <c r="D195" s="2">
        <v>1</v>
      </c>
      <c r="E195" s="2">
        <v>250</v>
      </c>
      <c r="F195" s="3" t="str">
        <f>HYPERLINK("http://www.sah.co.rs/pt124b-10mpa.html?___store=serbian"," Pogledajte proizvod na sajtu -&gt;")</f>
        <v> Pogledajte proizvod na sajtu -&gt;</v>
      </c>
    </row>
    <row r="196" spans="1:6" ht="12.75">
      <c r="A196" s="2">
        <v>195</v>
      </c>
      <c r="B196" t="s">
        <v>2728</v>
      </c>
      <c r="C196" t="s">
        <v>2729</v>
      </c>
      <c r="D196" s="2">
        <v>3</v>
      </c>
      <c r="E196" s="2">
        <v>250</v>
      </c>
      <c r="F196" s="3" t="str">
        <f>HYPERLINK("http://www.sah.co.rs/pt124b-5mpa.html?___store=serbian"," Pogledajte proizvod na sajtu -&gt;")</f>
        <v> Pogledajte proizvod na sajtu -&gt;</v>
      </c>
    </row>
    <row r="197" spans="1:6" ht="12.75">
      <c r="A197" s="2">
        <v>196</v>
      </c>
      <c r="B197" t="s">
        <v>2730</v>
      </c>
      <c r="C197" t="s">
        <v>2731</v>
      </c>
      <c r="D197" s="2">
        <v>9</v>
      </c>
      <c r="E197" s="2">
        <v>170</v>
      </c>
      <c r="F197" s="3" t="str">
        <f>HYPERLINK("http://www.sah.co.rs/pt124k-70mpa.html?___store=serbian"," Pogledajte proizvod na sajtu -&gt;")</f>
        <v> Pogledajte proizvod na sajtu -&gt;</v>
      </c>
    </row>
    <row r="198" spans="1:6" ht="12.75">
      <c r="A198" s="2">
        <v>197</v>
      </c>
      <c r="B198" t="s">
        <v>2732</v>
      </c>
      <c r="C198" t="s">
        <v>2733</v>
      </c>
      <c r="D198" s="2">
        <v>4</v>
      </c>
      <c r="E198" s="2">
        <v>220</v>
      </c>
      <c r="F198" s="3" t="str">
        <f>HYPERLINK("http://www.sah.co.rs/pt124k-50mpa-with-py208.html?___store=serbian"," Pogledajte proizvod na sajtu -&gt;")</f>
        <v> Pogledajte proizvod na sajtu -&gt;</v>
      </c>
    </row>
    <row r="199" spans="1:6" ht="12.75">
      <c r="A199" s="2">
        <v>198</v>
      </c>
      <c r="B199" t="s">
        <v>2734</v>
      </c>
      <c r="C199" t="s">
        <v>2735</v>
      </c>
      <c r="D199" s="2">
        <v>66</v>
      </c>
      <c r="E199" s="2">
        <v>5</v>
      </c>
      <c r="F199" s="3" t="str">
        <f>HYPERLINK("http://www.sah.co.rs/dhc1x.html?___store=serbian"," Pogledajte proizvod na sajtu -&gt;")</f>
        <v> Pogledajte proizvod na sajtu -&gt;</v>
      </c>
    </row>
    <row r="200" spans="1:6" ht="12.75">
      <c r="A200" s="2">
        <v>199</v>
      </c>
      <c r="B200" t="s">
        <v>2736</v>
      </c>
      <c r="C200" t="s">
        <v>2737</v>
      </c>
      <c r="D200" s="2">
        <v>38</v>
      </c>
      <c r="E200" s="2">
        <v>10</v>
      </c>
      <c r="F200" s="3" t="str">
        <f>HYPERLINK("http://www.sah.co.rs/float-switch.html?___store=serbian"," Pogledajte proizvod na sajtu -&gt;")</f>
        <v> Pogledajte proizvod na sajtu -&gt;</v>
      </c>
    </row>
    <row r="201" spans="1:6" ht="12.75">
      <c r="A201" s="2">
        <v>200</v>
      </c>
      <c r="B201" t="s">
        <v>2738</v>
      </c>
      <c r="C201" t="s">
        <v>2739</v>
      </c>
      <c r="D201" s="2">
        <v>15</v>
      </c>
      <c r="E201" s="2">
        <v>160</v>
      </c>
      <c r="F201" s="3" t="str">
        <f>HYPERLINK("http://www.sah.co.rs/zwp-t91-k-10m.html?___store=serbian"," Pogledajte proizvod na sajtu -&gt;")</f>
        <v> Pogledajte proizvod na sajtu -&gt;</v>
      </c>
    </row>
    <row r="202" spans="1:6" ht="12.75">
      <c r="A202" s="2">
        <v>201</v>
      </c>
      <c r="B202" t="s">
        <v>2740</v>
      </c>
      <c r="C202" t="s">
        <v>2741</v>
      </c>
      <c r="D202" s="2">
        <v>6</v>
      </c>
      <c r="E202" s="2">
        <v>200</v>
      </c>
      <c r="F202" s="3" t="str">
        <f>HYPERLINK("http://www.sah.co.rs/mpm489w-13-e-22-yc.html?___store=serbian"," Pogledajte proizvod na sajtu -&gt;")</f>
        <v> Pogledajte proizvod na sajtu -&gt;</v>
      </c>
    </row>
    <row r="203" spans="1:6" ht="12.75">
      <c r="A203" s="2">
        <v>202</v>
      </c>
      <c r="B203" t="s">
        <v>2742</v>
      </c>
      <c r="C203" t="s">
        <v>2743</v>
      </c>
      <c r="D203" s="2">
        <v>4</v>
      </c>
      <c r="E203" s="2">
        <v>210</v>
      </c>
      <c r="F203" s="3" t="str">
        <f>HYPERLINK("http://www.sah.co.rs/mpm489w-17-e-22-yc.html?___store=serbian"," Pogledajte proizvod na sajtu -&gt;")</f>
        <v> Pogledajte proizvod na sajtu -&gt;</v>
      </c>
    </row>
    <row r="204" spans="1:6" ht="12.75">
      <c r="A204" s="2">
        <v>203</v>
      </c>
      <c r="B204" t="s">
        <v>2744</v>
      </c>
      <c r="C204" t="s">
        <v>2745</v>
      </c>
      <c r="D204" s="2">
        <v>6</v>
      </c>
      <c r="E204" s="2">
        <v>180</v>
      </c>
      <c r="F204" s="3" t="str">
        <f>HYPERLINK("http://www.sah.co.rs/mpm489w-2-e-22-yc.html?___store=serbian"," Pogledajte proizvod na sajtu -&gt;")</f>
        <v> Pogledajte proizvod na sajtu -&gt;</v>
      </c>
    </row>
    <row r="205" spans="1:6" ht="12.75">
      <c r="A205" s="2">
        <v>204</v>
      </c>
      <c r="B205" t="s">
        <v>2746</v>
      </c>
      <c r="C205" t="s">
        <v>2747</v>
      </c>
      <c r="D205" s="2">
        <v>19</v>
      </c>
      <c r="E205" s="2">
        <v>220</v>
      </c>
      <c r="F205" s="3" t="str">
        <f>HYPERLINK("http://www.sah.co.rs/mpm489w-25-e-22-yc.html?___store=serbian"," Pogledajte proizvod na sajtu -&gt;")</f>
        <v> Pogledajte proizvod na sajtu -&gt;</v>
      </c>
    </row>
    <row r="206" spans="1:6" ht="12.75">
      <c r="A206" s="2">
        <v>205</v>
      </c>
      <c r="B206" t="s">
        <v>2748</v>
      </c>
      <c r="C206" t="s">
        <v>2749</v>
      </c>
      <c r="D206" s="2">
        <v>5</v>
      </c>
      <c r="E206" s="2">
        <v>120</v>
      </c>
      <c r="F206" s="3" t="str">
        <f aca="true" t="shared" si="1" ref="F206:F207">HYPERLINK("http://www.sah.co.rs/zwp-t91-k-2m.html?___store=serbian"," Pogledajte proizvod na sajtu -&gt;")</f>
        <v> Pogledajte proizvod na sajtu -&gt;</v>
      </c>
    </row>
    <row r="207" spans="1:6" ht="12.75">
      <c r="A207" s="2">
        <v>206</v>
      </c>
      <c r="B207" t="s">
        <v>2748</v>
      </c>
      <c r="C207" t="s">
        <v>2750</v>
      </c>
      <c r="D207" s="2">
        <v>32</v>
      </c>
      <c r="E207" s="2">
        <v>125</v>
      </c>
      <c r="F207" s="3" t="str">
        <f t="shared" si="1"/>
        <v> Pogledajte proizvod na sajtu -&gt;</v>
      </c>
    </row>
    <row r="208" spans="1:6" ht="12.75">
      <c r="A208" s="2">
        <v>207</v>
      </c>
      <c r="B208" t="s">
        <v>2751</v>
      </c>
      <c r="C208" t="s">
        <v>2752</v>
      </c>
      <c r="D208" s="2">
        <v>8</v>
      </c>
      <c r="E208" s="2">
        <v>185</v>
      </c>
      <c r="F208" s="3" t="str">
        <f>HYPERLINK("http://www.sah.co.rs/mpm489w-3-e-22-yc.html?___store=serbian"," Pogledajte proizvod na sajtu -&gt;")</f>
        <v> Pogledajte proizvod na sajtu -&gt;</v>
      </c>
    </row>
    <row r="209" spans="1:6" ht="12.75">
      <c r="A209" s="2">
        <v>208</v>
      </c>
      <c r="B209" t="s">
        <v>2753</v>
      </c>
      <c r="C209" t="s">
        <v>2754</v>
      </c>
      <c r="D209" s="2">
        <v>10</v>
      </c>
      <c r="E209" s="2">
        <v>230</v>
      </c>
      <c r="F209" s="3" t="str">
        <f>HYPERLINK("http://www.sah.co.rs/zwp-t91-k-30m.html?___store=serbian"," Pogledajte proizvod na sajtu -&gt;")</f>
        <v> Pogledajte proizvod na sajtu -&gt;</v>
      </c>
    </row>
    <row r="210" spans="1:6" ht="12.75">
      <c r="A210" s="2">
        <v>209</v>
      </c>
      <c r="B210" t="s">
        <v>2755</v>
      </c>
      <c r="C210" t="s">
        <v>2756</v>
      </c>
      <c r="D210" s="2">
        <v>0</v>
      </c>
      <c r="E210" s="2">
        <v>230</v>
      </c>
      <c r="F210" s="3" t="str">
        <f>HYPERLINK("http://www.sah.co.rs/mpm489w-35-e-22-yc.html?___store=serbian"," Pogledajte proizvod na sajtu -&gt;")</f>
        <v> Pogledajte proizvod na sajtu -&gt;</v>
      </c>
    </row>
    <row r="211" spans="1:6" ht="12.75">
      <c r="A211" s="2">
        <v>210</v>
      </c>
      <c r="B211" t="s">
        <v>2757</v>
      </c>
      <c r="C211" t="s">
        <v>2758</v>
      </c>
      <c r="D211" s="2">
        <v>13</v>
      </c>
      <c r="E211" s="2">
        <v>190</v>
      </c>
      <c r="F211" s="3" t="str">
        <f>HYPERLINK("http://www.sah.co.rs/mpm489w-4-e-22-yc.html?___store=serbian"," Pogledajte proizvod na sajtu -&gt;")</f>
        <v> Pogledajte proizvod na sajtu -&gt;</v>
      </c>
    </row>
    <row r="212" spans="1:6" ht="12.75">
      <c r="A212" s="2">
        <v>211</v>
      </c>
      <c r="B212" t="s">
        <v>2759</v>
      </c>
      <c r="C212" t="s">
        <v>2760</v>
      </c>
      <c r="D212" s="2">
        <v>4</v>
      </c>
      <c r="E212" s="2">
        <v>130</v>
      </c>
      <c r="F212" s="3" t="str">
        <f>HYPERLINK("http://www.sah.co.rs/zwp-t91-k-5m.html?___store=serbian"," Pogledajte proizvod na sajtu -&gt;")</f>
        <v> Pogledajte proizvod na sajtu -&gt;</v>
      </c>
    </row>
    <row r="213" spans="1:6" ht="12.75">
      <c r="A213" s="2">
        <v>212</v>
      </c>
      <c r="B213" t="s">
        <v>2761</v>
      </c>
      <c r="C213" t="s">
        <v>2762</v>
      </c>
      <c r="D213" s="2">
        <v>2</v>
      </c>
      <c r="E213" s="2">
        <v>195</v>
      </c>
      <c r="F213" s="3" t="str">
        <f>HYPERLINK("http://www.sah.co.rs/mpm489w-7-e-22-yc.html?___store=serbian"," Pogledajte proizvod na sajtu -&gt;")</f>
        <v> Pogledajte proizvod na sajtu -&gt;</v>
      </c>
    </row>
    <row r="214" spans="1:6" ht="12.75">
      <c r="A214" s="2">
        <v>213</v>
      </c>
      <c r="B214" t="s">
        <v>2763</v>
      </c>
      <c r="C214" t="s">
        <v>2764</v>
      </c>
      <c r="D214" s="2">
        <v>15</v>
      </c>
      <c r="E214" s="2">
        <v>140</v>
      </c>
      <c r="F214" s="3" t="str">
        <f>HYPERLINK("http://www.sah.co.rs/zwp-t91-k-7m.html?___store=serbian"," Pogledajte proizvod na sajtu -&gt;")</f>
        <v> Pogledajte proizvod na sajtu -&gt;</v>
      </c>
    </row>
    <row r="215" spans="1:6" ht="12.75">
      <c r="A215" s="2">
        <v>214</v>
      </c>
      <c r="B215" t="s">
        <v>2765</v>
      </c>
      <c r="C215" t="s">
        <v>2766</v>
      </c>
      <c r="D215" s="2">
        <v>0</v>
      </c>
      <c r="E215" s="2">
        <v>200</v>
      </c>
      <c r="F215" s="3" t="str">
        <f>HYPERLINK("http://www.sah.co.rs/mpm489w-12-e-22-m1.html?___store=serbian"," Pogledajte proizvod na sajtu -&gt;")</f>
        <v> Pogledajte proizvod na sajtu -&gt;</v>
      </c>
    </row>
    <row r="216" spans="1:6" ht="12.75">
      <c r="A216" s="2">
        <v>215</v>
      </c>
      <c r="B216" t="s">
        <v>2767</v>
      </c>
      <c r="C216" t="s">
        <v>2768</v>
      </c>
      <c r="D216" s="2">
        <v>4</v>
      </c>
      <c r="E216" s="2">
        <v>180</v>
      </c>
      <c r="F216" s="3" t="str">
        <f>HYPERLINK("http://www.sah.co.rs/mpm489w-2-e-22-m1.html?___store=serbian"," Pogledajte proizvod na sajtu -&gt;")</f>
        <v> Pogledajte proizvod na sajtu -&gt;</v>
      </c>
    </row>
    <row r="217" spans="1:6" ht="12.75">
      <c r="A217" s="2">
        <v>216</v>
      </c>
      <c r="B217" t="s">
        <v>2769</v>
      </c>
      <c r="C217" t="s">
        <v>2770</v>
      </c>
      <c r="D217" s="2">
        <v>3</v>
      </c>
      <c r="E217" s="2">
        <v>195</v>
      </c>
      <c r="F217" s="3" t="str">
        <f>HYPERLINK("http://www.sah.co.rs/mpm489w-7-e-22-m1.html?___store=serbian"," Pogledajte proizvod na sajtu -&gt;")</f>
        <v> Pogledajte proizvod na sajtu -&gt;</v>
      </c>
    </row>
    <row r="218" spans="1:6" ht="12.75">
      <c r="A218" s="2">
        <v>217</v>
      </c>
      <c r="B218" t="s">
        <v>2771</v>
      </c>
      <c r="C218" t="s">
        <v>2772</v>
      </c>
      <c r="D218" s="2">
        <v>7</v>
      </c>
      <c r="E218" s="2">
        <v>115</v>
      </c>
      <c r="F218" s="3" t="str">
        <f>HYPERLINK("http://www.sah.co.rs/mpm489-0-1-0-mpa-e-22-b1-1-4npt-g.html?___store=serbian"," Pogledajte proizvod na sajtu -&gt;")</f>
        <v> Pogledajte proizvod na sajtu -&gt;</v>
      </c>
    </row>
    <row r="219" spans="1:6" ht="12.75">
      <c r="A219" s="2">
        <v>218</v>
      </c>
      <c r="B219" t="s">
        <v>2773</v>
      </c>
      <c r="C219" t="s">
        <v>2774</v>
      </c>
      <c r="D219" s="2">
        <v>5</v>
      </c>
      <c r="E219" s="2">
        <v>115</v>
      </c>
      <c r="F219" s="3" t="str">
        <f>HYPERLINK("http://www.sah.co.rs/mpm489-0-1-0-mpa-e-22-b1-c1-g.html?___store=serbian"," Pogledajte proizvod na sajtu -&gt;")</f>
        <v> Pogledajte proizvod na sajtu -&gt;</v>
      </c>
    </row>
    <row r="220" spans="1:6" ht="12.75">
      <c r="A220" s="2">
        <v>219</v>
      </c>
      <c r="B220" t="s">
        <v>2775</v>
      </c>
      <c r="C220" t="s">
        <v>2776</v>
      </c>
      <c r="D220" s="2">
        <v>12</v>
      </c>
      <c r="E220" s="2">
        <v>115</v>
      </c>
      <c r="F220" s="3" t="str">
        <f>HYPERLINK("http://www.sah.co.rs/mpm489-0-1-0-1-mpa-e-22-b1-1-4npt-g.html?___store=serbian"," Pogledajte proizvod na sajtu -&gt;")</f>
        <v> Pogledajte proizvod na sajtu -&gt;</v>
      </c>
    </row>
    <row r="221" spans="1:6" ht="12.75">
      <c r="A221" s="2">
        <v>220</v>
      </c>
      <c r="B221" t="s">
        <v>2777</v>
      </c>
      <c r="C221" t="s">
        <v>2778</v>
      </c>
      <c r="D221" s="2">
        <v>6</v>
      </c>
      <c r="E221" s="2">
        <v>115</v>
      </c>
      <c r="F221" s="3" t="str">
        <f>HYPERLINK("http://www.sah.co.rs/mpm489-0-1-1-mpa-e-22-b1-1-4npt-g.html?___store=serbian"," Pogledajte proizvod na sajtu -&gt;")</f>
        <v> Pogledajte proizvod na sajtu -&gt;</v>
      </c>
    </row>
    <row r="222" spans="1:6" ht="12.75">
      <c r="A222" s="2">
        <v>221</v>
      </c>
      <c r="B222" t="s">
        <v>2779</v>
      </c>
      <c r="C222" t="s">
        <v>2780</v>
      </c>
      <c r="D222" s="2">
        <v>5</v>
      </c>
      <c r="E222" s="2">
        <v>90</v>
      </c>
      <c r="F222" s="3" t="str">
        <f>HYPERLINK("http://www.sah.co.rs/wpm-131d-0-0-01-mpa.html?___store=serbian"," Pogledajte proizvod na sajtu -&gt;")</f>
        <v> Pogledajte proizvod na sajtu -&gt;</v>
      </c>
    </row>
    <row r="223" spans="1:6" ht="12.75">
      <c r="A223" s="2">
        <v>222</v>
      </c>
      <c r="B223" t="s">
        <v>2781</v>
      </c>
      <c r="C223" t="s">
        <v>2782</v>
      </c>
      <c r="D223" s="2">
        <v>8</v>
      </c>
      <c r="E223" s="2">
        <v>115</v>
      </c>
      <c r="F223" s="3" t="str">
        <f>HYPERLINK("http://www.sah.co.rs/mpm489-0-0-05-mpa-e-22-b1-1-4npt-g.html?___store=serbian"," Pogledajte proizvod na sajtu -&gt;")</f>
        <v> Pogledajte proizvod na sajtu -&gt;</v>
      </c>
    </row>
    <row r="224" spans="1:6" ht="12.75">
      <c r="A224" s="2">
        <v>223</v>
      </c>
      <c r="B224" t="s">
        <v>2783</v>
      </c>
      <c r="C224" t="s">
        <v>2784</v>
      </c>
      <c r="D224" s="2">
        <v>4</v>
      </c>
      <c r="E224" s="2">
        <v>60</v>
      </c>
      <c r="F224" s="3" t="str">
        <f>HYPERLINK("http://www.sah.co.rs/zwp-l61-k-0-0-1-mpa.html?___store=serbian"," Pogledajte proizvod na sajtu -&gt;")</f>
        <v> Pogledajte proizvod na sajtu -&gt;</v>
      </c>
    </row>
    <row r="225" spans="1:6" ht="12.75">
      <c r="A225" s="2">
        <v>224</v>
      </c>
      <c r="B225" t="s">
        <v>2785</v>
      </c>
      <c r="C225" t="s">
        <v>2786</v>
      </c>
      <c r="D225" s="2">
        <v>5</v>
      </c>
      <c r="E225" s="2">
        <v>115</v>
      </c>
      <c r="F225" s="3" t="str">
        <f>HYPERLINK("http://www.sah.co.rs/mpm489-0-0-1-mpa-e-22-b1-1-4npt-g.html?___store=serbian"," Pogledajte proizvod na sajtu -&gt;")</f>
        <v> Pogledajte proizvod na sajtu -&gt;</v>
      </c>
    </row>
    <row r="226" spans="1:6" ht="12.75">
      <c r="A226" s="2">
        <v>225</v>
      </c>
      <c r="B226" t="s">
        <v>2787</v>
      </c>
      <c r="C226" t="s">
        <v>2788</v>
      </c>
      <c r="D226" s="2">
        <v>7</v>
      </c>
      <c r="E226" s="2">
        <v>85</v>
      </c>
      <c r="F226" s="3" t="str">
        <f aca="true" t="shared" si="2" ref="F226:F227">HYPERLINK("http://www.sah.co.rs/wpm-131d-0-0-1-mpa.html?___store=serbian"," Pogledajte proizvod na sajtu -&gt;")</f>
        <v> Pogledajte proizvod na sajtu -&gt;</v>
      </c>
    </row>
    <row r="227" spans="1:6" ht="12.75">
      <c r="A227" s="2">
        <v>226</v>
      </c>
      <c r="B227" t="s">
        <v>2787</v>
      </c>
      <c r="C227" t="s">
        <v>2789</v>
      </c>
      <c r="D227" s="2">
        <v>8</v>
      </c>
      <c r="E227" s="2">
        <v>85</v>
      </c>
      <c r="F227" s="3" t="str">
        <f t="shared" si="2"/>
        <v> Pogledajte proizvod na sajtu -&gt;</v>
      </c>
    </row>
    <row r="228" spans="1:6" ht="12.75">
      <c r="A228" s="2">
        <v>227</v>
      </c>
      <c r="B228" t="s">
        <v>2790</v>
      </c>
      <c r="C228" t="s">
        <v>2791</v>
      </c>
      <c r="D228" s="2">
        <v>21</v>
      </c>
      <c r="E228" s="2">
        <v>105</v>
      </c>
      <c r="F228" s="3" t="str">
        <f>HYPERLINK("http://www.sah.co.rs/mpm489-0-0-25-mpa-e-22-b1-1-4npt-g.html?___store=serbian"," Pogledajte proizvod na sajtu -&gt;")</f>
        <v> Pogledajte proizvod na sajtu -&gt;</v>
      </c>
    </row>
    <row r="229" spans="1:6" ht="12.75">
      <c r="A229" s="2">
        <v>228</v>
      </c>
      <c r="B229" t="s">
        <v>2792</v>
      </c>
      <c r="C229" t="s">
        <v>2793</v>
      </c>
      <c r="D229" s="2">
        <v>15</v>
      </c>
      <c r="E229" s="2">
        <v>60</v>
      </c>
      <c r="F229" s="3" t="str">
        <f>HYPERLINK("http://www.sah.co.rs/zwp-l61-k-0-0-6-mpa.html?___store=serbian"," Pogledajte proizvod na sajtu -&gt;")</f>
        <v> Pogledajte proizvod na sajtu -&gt;</v>
      </c>
    </row>
    <row r="230" spans="1:6" ht="12.75">
      <c r="A230" s="2">
        <v>229</v>
      </c>
      <c r="B230" t="s">
        <v>2794</v>
      </c>
      <c r="C230" t="s">
        <v>2795</v>
      </c>
      <c r="D230" s="2">
        <v>6</v>
      </c>
      <c r="E230" s="2">
        <v>105</v>
      </c>
      <c r="F230" s="3" t="str">
        <f>HYPERLINK("http://www.sah.co.rs/mpm489-0-0-6-mpa-e-22-b1-1-4npt-g.html?___store=serbian"," Pogledajte proizvod na sajtu -&gt;")</f>
        <v> Pogledajte proizvod na sajtu -&gt;</v>
      </c>
    </row>
    <row r="231" spans="1:6" ht="12.75">
      <c r="A231" s="2">
        <v>230</v>
      </c>
      <c r="B231" t="s">
        <v>2796</v>
      </c>
      <c r="C231" t="s">
        <v>2797</v>
      </c>
      <c r="D231" s="2">
        <v>19</v>
      </c>
      <c r="E231" s="2">
        <v>105</v>
      </c>
      <c r="F231" s="3" t="str">
        <f>HYPERLINK("http://www.sah.co.rs/mpm489-0-0-6-mpa-e-22-b1-c1-g.html?___store=serbian"," Pogledajte proizvod na sajtu -&gt;")</f>
        <v> Pogledajte proizvod na sajtu -&gt;</v>
      </c>
    </row>
    <row r="232" spans="1:6" ht="12.75">
      <c r="A232" s="2">
        <v>231</v>
      </c>
      <c r="B232" t="s">
        <v>2798</v>
      </c>
      <c r="C232" t="s">
        <v>2799</v>
      </c>
      <c r="D232" s="2">
        <v>3</v>
      </c>
      <c r="E232" s="2">
        <v>90</v>
      </c>
      <c r="F232" s="3" t="str">
        <f>HYPERLINK("http://www.sah.co.rs/wpm-131d-0-0-6-mpa.html?___store=serbian"," Pogledajte proizvod na sajtu -&gt;")</f>
        <v> Pogledajte proizvod na sajtu -&gt;</v>
      </c>
    </row>
    <row r="233" spans="1:6" ht="12.75">
      <c r="A233" s="2">
        <v>232</v>
      </c>
      <c r="B233" t="s">
        <v>2800</v>
      </c>
      <c r="C233" t="s">
        <v>2801</v>
      </c>
      <c r="D233" s="2">
        <v>7</v>
      </c>
      <c r="E233" s="2">
        <v>60</v>
      </c>
      <c r="F233" s="3" t="str">
        <f>HYPERLINK("http://www.sah.co.rs/zwp-l61-k-0-1-mpa.html?___store=serbian"," Pogledajte proizvod na sajtu -&gt;")</f>
        <v> Pogledajte proizvod na sajtu -&gt;</v>
      </c>
    </row>
    <row r="234" spans="1:6" ht="12.75">
      <c r="A234" s="2">
        <v>233</v>
      </c>
      <c r="B234" t="s">
        <v>2802</v>
      </c>
      <c r="C234" t="s">
        <v>2803</v>
      </c>
      <c r="D234" s="2">
        <v>18</v>
      </c>
      <c r="E234" s="2">
        <v>105</v>
      </c>
      <c r="F234" s="3" t="str">
        <f>HYPERLINK("http://www.sah.co.rs/mpm489-0-1-mpa-e-22-b1-1-4npt-g.html?___store=serbian"," Pogledajte proizvod na sajtu -&gt;")</f>
        <v> Pogledajte proizvod na sajtu -&gt;</v>
      </c>
    </row>
    <row r="235" spans="1:6" ht="12.75">
      <c r="A235" s="2">
        <v>234</v>
      </c>
      <c r="B235" t="s">
        <v>2804</v>
      </c>
      <c r="C235" t="s">
        <v>2805</v>
      </c>
      <c r="D235" s="2">
        <v>5</v>
      </c>
      <c r="E235" s="2">
        <v>105</v>
      </c>
      <c r="F235" s="3" t="str">
        <f>HYPERLINK("http://www.sah.co.rs/mpm489-0-1-mpa-e-22-b1-c1-g.html?___store=serbian"," Pogledajte proizvod na sajtu -&gt;")</f>
        <v> Pogledajte proizvod na sajtu -&gt;</v>
      </c>
    </row>
    <row r="236" spans="1:6" ht="12.75">
      <c r="A236" s="2">
        <v>235</v>
      </c>
      <c r="B236" t="s">
        <v>2806</v>
      </c>
      <c r="C236" t="s">
        <v>2807</v>
      </c>
      <c r="D236" s="2">
        <v>25</v>
      </c>
      <c r="E236" s="2">
        <v>85</v>
      </c>
      <c r="F236" s="3" t="str">
        <f>HYPERLINK("http://www.sah.co.rs/wpm-131d-0-1-mpa.html?___store=serbian"," Pogledajte proizvod na sajtu -&gt;")</f>
        <v> Pogledajte proizvod na sajtu -&gt;</v>
      </c>
    </row>
    <row r="237" spans="1:6" ht="12.75">
      <c r="A237" s="2">
        <v>236</v>
      </c>
      <c r="B237" t="s">
        <v>2808</v>
      </c>
      <c r="C237" t="s">
        <v>2807</v>
      </c>
      <c r="D237" s="2">
        <v>4</v>
      </c>
      <c r="E237" s="2">
        <v>110</v>
      </c>
      <c r="F237" s="3" t="str">
        <f>HYPERLINK("http://www.sah.co.rs/xd-132-0-1-mpa.html?___store=serbian"," Pogledajte proizvod na sajtu -&gt;")</f>
        <v> Pogledajte proizvod na sajtu -&gt;</v>
      </c>
    </row>
    <row r="238" spans="1:6" ht="12.75">
      <c r="A238" s="2">
        <v>237</v>
      </c>
      <c r="B238" t="s">
        <v>2806</v>
      </c>
      <c r="C238" t="s">
        <v>2809</v>
      </c>
      <c r="D238" s="2">
        <v>20</v>
      </c>
      <c r="E238" s="2">
        <v>85</v>
      </c>
      <c r="F238" s="3" t="str">
        <f>HYPERLINK("http://www.sah.co.rs/wpm-131d-0-1-mpa.html?___store=serbian"," Pogledajte proizvod na sajtu -&gt;")</f>
        <v> Pogledajte proizvod na sajtu -&gt;</v>
      </c>
    </row>
    <row r="239" spans="1:6" ht="12.75">
      <c r="A239" s="2">
        <v>238</v>
      </c>
      <c r="B239" t="s">
        <v>2810</v>
      </c>
      <c r="C239" t="s">
        <v>2811</v>
      </c>
      <c r="D239" s="2">
        <v>2</v>
      </c>
      <c r="E239" s="2">
        <v>60</v>
      </c>
      <c r="F239" s="3" t="str">
        <f>HYPERLINK("http://www.sah.co.rs/zwp-l61-k-0-1-6-mpa.html?___store=serbian"," Pogledajte proizvod na sajtu -&gt;")</f>
        <v> Pogledajte proizvod na sajtu -&gt;</v>
      </c>
    </row>
    <row r="240" spans="1:6" ht="12.75">
      <c r="A240" s="2">
        <v>239</v>
      </c>
      <c r="B240" t="s">
        <v>2812</v>
      </c>
      <c r="C240" t="s">
        <v>2813</v>
      </c>
      <c r="D240" s="2">
        <v>10</v>
      </c>
      <c r="E240" s="2">
        <v>105</v>
      </c>
      <c r="F240" s="3" t="str">
        <f>HYPERLINK("http://www.sah.co.rs/mpm489-0-1-6-mpa-e-22-b1-1-4npt-g.html?___store=serbian"," Pogledajte proizvod na sajtu -&gt;")</f>
        <v> Pogledajte proizvod na sajtu -&gt;</v>
      </c>
    </row>
    <row r="241" spans="1:6" ht="12.75">
      <c r="A241" s="2">
        <v>240</v>
      </c>
      <c r="B241" t="s">
        <v>2814</v>
      </c>
      <c r="C241" t="s">
        <v>2815</v>
      </c>
      <c r="D241" s="2">
        <v>13</v>
      </c>
      <c r="E241" s="2">
        <v>105</v>
      </c>
      <c r="F241" s="3" t="str">
        <f>HYPERLINK("http://www.sah.co.rs/mpm489-0-1-6-mpa-e-22-b1-c1-g.html?___store=serbian"," Pogledajte proizvod na sajtu -&gt;")</f>
        <v> Pogledajte proizvod na sajtu -&gt;</v>
      </c>
    </row>
    <row r="242" spans="1:6" ht="12.75">
      <c r="A242" s="2">
        <v>241</v>
      </c>
      <c r="B242" t="s">
        <v>2816</v>
      </c>
      <c r="C242" t="s">
        <v>2817</v>
      </c>
      <c r="D242" s="2">
        <v>18</v>
      </c>
      <c r="E242" s="2">
        <v>85</v>
      </c>
      <c r="F242" s="3" t="str">
        <f>HYPERLINK("http://www.sah.co.rs/wpm-131d-0-1-6-mpa.html?___store=serbian"," Pogledajte proizvod na sajtu -&gt;")</f>
        <v> Pogledajte proizvod na sajtu -&gt;</v>
      </c>
    </row>
    <row r="243" spans="1:6" ht="12.75">
      <c r="A243" s="2">
        <v>242</v>
      </c>
      <c r="B243" t="s">
        <v>2818</v>
      </c>
      <c r="C243" t="s">
        <v>2819</v>
      </c>
      <c r="D243" s="2">
        <v>49</v>
      </c>
      <c r="E243" s="2">
        <v>75</v>
      </c>
      <c r="F243" s="3" t="str">
        <f>HYPERLINK("http://www.sah.co.rs/mdc51-010-n-a-i-p-0-10-bar.html?___store=serbian"," Pogledajte proizvod na sajtu -&gt;")</f>
        <v> Pogledajte proizvod na sajtu -&gt;</v>
      </c>
    </row>
    <row r="244" spans="1:6" ht="12.75">
      <c r="A244" s="2">
        <v>243</v>
      </c>
      <c r="B244" t="s">
        <v>2820</v>
      </c>
      <c r="C244" t="s">
        <v>2821</v>
      </c>
      <c r="D244" s="2">
        <v>15</v>
      </c>
      <c r="E244" s="2">
        <v>105</v>
      </c>
      <c r="F244" s="3" t="str">
        <f>HYPERLINK("http://www.sah.co.rs/mpm489-0-10-mpa-e-22-b1-c1-g.html?___store=serbian"," Pogledajte proizvod na sajtu -&gt;")</f>
        <v> Pogledajte proizvod na sajtu -&gt;</v>
      </c>
    </row>
    <row r="245" spans="1:6" ht="12.75">
      <c r="A245" s="2">
        <v>244</v>
      </c>
      <c r="B245" t="s">
        <v>2822</v>
      </c>
      <c r="C245" t="s">
        <v>2823</v>
      </c>
      <c r="D245" s="2">
        <v>6</v>
      </c>
      <c r="E245" s="2">
        <v>115</v>
      </c>
      <c r="F245" s="3" t="str">
        <f>HYPERLINK("http://www.sah.co.rs/mpm489-0-100-mpa-e-22-b1-c1-s.html?___store=serbian"," Pogledajte proizvod na sajtu -&gt;")</f>
        <v> Pogledajte proizvod na sajtu -&gt;</v>
      </c>
    </row>
    <row r="246" spans="1:6" ht="12.75">
      <c r="A246" s="2">
        <v>245</v>
      </c>
      <c r="B246" t="s">
        <v>2824</v>
      </c>
      <c r="C246" t="s">
        <v>2825</v>
      </c>
      <c r="D246" s="2">
        <v>12</v>
      </c>
      <c r="E246" s="2">
        <v>75</v>
      </c>
      <c r="F246" s="3" t="str">
        <f>HYPERLINK("http://www.sah.co.rs/mdc51-016-n-a-i-p-0-16-bar.html?___store=serbian"," Pogledajte proizvod na sajtu -&gt;")</f>
        <v> Pogledajte proizvod na sajtu -&gt;</v>
      </c>
    </row>
    <row r="247" spans="1:6" ht="12.75">
      <c r="A247" s="2">
        <v>246</v>
      </c>
      <c r="B247" t="s">
        <v>2826</v>
      </c>
      <c r="C247" t="s">
        <v>2827</v>
      </c>
      <c r="D247" s="2">
        <v>14</v>
      </c>
      <c r="E247" s="2">
        <v>60</v>
      </c>
      <c r="F247" s="3" t="str">
        <f>HYPERLINK("http://www.sah.co.rs/ss306-0-160-bar.html?___store=serbian"," Pogledajte proizvod na sajtu -&gt;")</f>
        <v> Pogledajte proizvod na sajtu -&gt;</v>
      </c>
    </row>
    <row r="248" spans="1:6" ht="12.75">
      <c r="A248" s="2">
        <v>247</v>
      </c>
      <c r="B248" t="s">
        <v>2828</v>
      </c>
      <c r="C248" t="s">
        <v>2829</v>
      </c>
      <c r="D248" s="2">
        <v>7</v>
      </c>
      <c r="E248" s="2">
        <v>105</v>
      </c>
      <c r="F248" s="3" t="str">
        <f>HYPERLINK("http://www.sah.co.rs/mpm489-0-2-5-mpa-e-22-b1-c1-g.html?___store=serbian"," Pogledajte proizvod na sajtu -&gt;")</f>
        <v> Pogledajte proizvod na sajtu -&gt;</v>
      </c>
    </row>
    <row r="249" spans="1:6" ht="12.75">
      <c r="A249" s="2">
        <v>248</v>
      </c>
      <c r="B249" t="s">
        <v>2830</v>
      </c>
      <c r="C249" t="s">
        <v>2831</v>
      </c>
      <c r="D249" s="2">
        <v>15</v>
      </c>
      <c r="E249" s="2">
        <v>115</v>
      </c>
      <c r="F249" s="3" t="str">
        <f>HYPERLINK("http://www.sah.co.rs/mpm489-0-25-mpa-e-22-b1-c1-g.html?___store=serbian"," Pogledajte proizvod na sajtu -&gt;")</f>
        <v> Pogledajte proizvod na sajtu -&gt;</v>
      </c>
    </row>
    <row r="250" spans="1:6" ht="12.75">
      <c r="A250" s="2">
        <v>249</v>
      </c>
      <c r="B250" t="s">
        <v>2832</v>
      </c>
      <c r="C250" t="s">
        <v>2833</v>
      </c>
      <c r="D250" s="2">
        <v>5</v>
      </c>
      <c r="E250" s="2">
        <v>105</v>
      </c>
      <c r="F250" s="3" t="str">
        <f>HYPERLINK("http://www.sah.co.rs/mpm489-0-5-mpa-e-22-b1-c1-g.html?___store=serbian"," Pogledajte proizvod na sajtu -&gt;")</f>
        <v> Pogledajte proizvod na sajtu -&gt;</v>
      </c>
    </row>
    <row r="251" spans="1:6" ht="12.75">
      <c r="A251" s="2">
        <v>250</v>
      </c>
      <c r="B251" t="s">
        <v>2834</v>
      </c>
      <c r="C251" t="s">
        <v>2835</v>
      </c>
      <c r="D251" s="2">
        <v>7</v>
      </c>
      <c r="E251" s="2">
        <v>115</v>
      </c>
      <c r="F251" s="3" t="str">
        <f>HYPERLINK("http://www.sah.co.rs/mpm489-0-50-mpa-e-22-b1-c1-s.html?___store=serbian"," Pogledajte proizvod na sajtu -&gt;")</f>
        <v> Pogledajte proizvod na sajtu -&gt;</v>
      </c>
    </row>
    <row r="252" spans="1:6" ht="12.75">
      <c r="A252" s="2">
        <v>251</v>
      </c>
      <c r="B252" t="s">
        <v>2836</v>
      </c>
      <c r="C252" t="s">
        <v>2837</v>
      </c>
      <c r="D252" s="2">
        <v>38</v>
      </c>
      <c r="E252" s="2">
        <v>75</v>
      </c>
      <c r="F252" s="3" t="str">
        <f>HYPERLINK("http://www.sah.co.rs/mdc51-006-n-a-i-p-0-6-bar.html?___store=serbian"," Pogledajte proizvod na sajtu -&gt;")</f>
        <v> Pogledajte proizvod na sajtu -&gt;</v>
      </c>
    </row>
    <row r="253" spans="1:6" ht="12.75">
      <c r="A253" s="2">
        <v>252</v>
      </c>
      <c r="B253" t="s">
        <v>2838</v>
      </c>
      <c r="C253" t="s">
        <v>2839</v>
      </c>
      <c r="D253" s="2">
        <v>8</v>
      </c>
      <c r="E253" s="2">
        <v>85</v>
      </c>
      <c r="F253" s="3" t="str">
        <f>HYPERLINK("http://www.sah.co.rs/wpm-131d-0-60-mpa.html?___store=serbian"," Pogledajte proizvod na sajtu -&gt;")</f>
        <v> Pogledajte proizvod na sajtu -&gt;</v>
      </c>
    </row>
    <row r="254" spans="1:6" ht="12.75">
      <c r="A254" s="2">
        <v>253</v>
      </c>
      <c r="B254" t="s">
        <v>2840</v>
      </c>
      <c r="C254" t="s">
        <v>2841</v>
      </c>
      <c r="D254" s="2">
        <v>65</v>
      </c>
      <c r="E254" s="2">
        <v>20</v>
      </c>
      <c r="F254" s="3" t="str">
        <f>HYPERLINK("http://www.sah.co.rs/cwh-dc-03.html?___store=serbian"," Pogledajte proizvod na sajtu -&gt;")</f>
        <v> Pogledajte proizvod na sajtu -&gt;</v>
      </c>
    </row>
    <row r="255" spans="1:6" ht="12.75">
      <c r="A255" s="2">
        <v>254</v>
      </c>
      <c r="B255" t="s">
        <v>2842</v>
      </c>
      <c r="C255" t="s">
        <v>2843</v>
      </c>
      <c r="D255" s="2">
        <v>36</v>
      </c>
      <c r="E255" s="2">
        <v>20</v>
      </c>
      <c r="F255" s="3" t="str">
        <f>HYPERLINK("http://www.sah.co.rs/ht-837-3.html?___store=serbian"," Pogledajte proizvod na sajtu -&gt;")</f>
        <v> Pogledajte proizvod na sajtu -&gt;</v>
      </c>
    </row>
    <row r="256" spans="1:6" ht="12.75">
      <c r="A256" s="2">
        <v>255</v>
      </c>
      <c r="B256" t="s">
        <v>2844</v>
      </c>
      <c r="C256" t="s">
        <v>2845</v>
      </c>
      <c r="D256" s="2">
        <v>118</v>
      </c>
      <c r="E256" s="2">
        <v>20</v>
      </c>
      <c r="F256" s="3" t="str">
        <f>HYPERLINK("http://www.sah.co.rs/ths-pt-hm.html?___store=serbian"," Pogledajte proizvod na sajtu -&gt;")</f>
        <v> Pogledajte proizvod na sajtu -&gt;</v>
      </c>
    </row>
    <row r="257" spans="1:6" ht="12.75">
      <c r="A257" s="2">
        <v>256</v>
      </c>
      <c r="B257" t="s">
        <v>2846</v>
      </c>
      <c r="C257" t="s">
        <v>2847</v>
      </c>
      <c r="D257" s="2">
        <v>85</v>
      </c>
      <c r="E257" s="2">
        <v>20</v>
      </c>
      <c r="F257" s="3" t="str">
        <f>HYPERLINK("http://www.sah.co.rs/hs-hm.html?___store=serbian"," Pogledajte proizvod na sajtu -&gt;")</f>
        <v> Pogledajte proizvod na sajtu -&gt;</v>
      </c>
    </row>
    <row r="258" spans="1:6" ht="12.75">
      <c r="A258" s="2">
        <v>257</v>
      </c>
      <c r="B258" t="s">
        <v>2848</v>
      </c>
      <c r="C258" t="s">
        <v>2849</v>
      </c>
      <c r="D258" s="2">
        <v>15</v>
      </c>
      <c r="E258" s="2">
        <v>35</v>
      </c>
      <c r="F258" s="3" t="str">
        <f>HYPERLINK("http://www.sah.co.rs/cwdz11-50-150-c.html?___store=serbian"," Pogledajte proizvod na sajtu -&gt;")</f>
        <v> Pogledajte proizvod na sajtu -&gt;</v>
      </c>
    </row>
    <row r="259" spans="1:6" ht="12.75">
      <c r="A259" s="2">
        <v>258</v>
      </c>
      <c r="B259" t="s">
        <v>2850</v>
      </c>
      <c r="C259" t="s">
        <v>2851</v>
      </c>
      <c r="D259" s="2">
        <v>18</v>
      </c>
      <c r="E259" s="2">
        <v>35</v>
      </c>
      <c r="F259" s="3" t="str">
        <f>HYPERLINK("http://www.sah.co.rs/cwdz11-0-100-c.html?___store=serbian"," Pogledajte proizvod na sajtu -&gt;")</f>
        <v> Pogledajte proizvod na sajtu -&gt;</v>
      </c>
    </row>
    <row r="260" spans="1:6" ht="12.75">
      <c r="A260" s="2">
        <v>259</v>
      </c>
      <c r="B260" t="s">
        <v>2852</v>
      </c>
      <c r="C260" t="s">
        <v>2853</v>
      </c>
      <c r="D260" s="2">
        <v>2</v>
      </c>
      <c r="E260" s="2">
        <v>250</v>
      </c>
      <c r="F260" s="3" t="str">
        <f>HYPERLINK("http://www.sah.co.rs/stt-102-1m.html?___store=serbian"," Pogledajte proizvod na sajtu -&gt;")</f>
        <v> Pogledajte proizvod na sajtu -&gt;</v>
      </c>
    </row>
    <row r="261" spans="1:6" ht="12.75">
      <c r="A261" s="2">
        <v>260</v>
      </c>
      <c r="B261" t="s">
        <v>2854</v>
      </c>
      <c r="C261" t="s">
        <v>2855</v>
      </c>
      <c r="D261" s="2">
        <v>5</v>
      </c>
      <c r="E261" s="2">
        <v>250</v>
      </c>
      <c r="F261" s="3" t="str">
        <f>HYPERLINK("http://www.sah.co.rs/stt-102-5m.html?___store=serbian","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0.8515625" style="0" customWidth="1"/>
    <col min="3" max="3" width="93.003906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2856</v>
      </c>
      <c r="C2" t="s">
        <v>2857</v>
      </c>
      <c r="D2" s="2">
        <v>44</v>
      </c>
      <c r="E2" s="2">
        <v>12</v>
      </c>
      <c r="F2" s="3" t="str">
        <f>HYPERLINK("http://www.sah.co.rs/sus304.html?___store=serbian"," Pogledajte proizvod na sajtu -&gt;")</f>
        <v> Pogledajte proizvod na sajtu -&gt;</v>
      </c>
    </row>
    <row r="3" spans="1:6" ht="12.75">
      <c r="A3" s="2">
        <v>2</v>
      </c>
      <c r="B3" t="s">
        <v>2858</v>
      </c>
      <c r="C3" t="s">
        <v>2859</v>
      </c>
      <c r="D3" s="2">
        <v>29</v>
      </c>
      <c r="E3" s="2">
        <v>3.5</v>
      </c>
      <c r="F3" s="3" t="str">
        <f>HYPERLINK("http://www.sah.co.rs/rk02-2-4-p.html?___store=serbian"," Pogledajte proizvod na sajtu -&gt;")</f>
        <v> Pogledajte proizvod na sajtu -&gt;</v>
      </c>
    </row>
    <row r="4" spans="1:6" ht="12.75">
      <c r="A4" s="2">
        <v>3</v>
      </c>
      <c r="B4" t="s">
        <v>2860</v>
      </c>
      <c r="C4" t="s">
        <v>2861</v>
      </c>
      <c r="D4" s="2">
        <v>115</v>
      </c>
      <c r="E4" s="2">
        <v>4</v>
      </c>
      <c r="F4" s="3" t="str">
        <f>HYPERLINK("http://www.sah.co.rs/rk01-2-3-p.html?___store=serbian"," Pogledajte proizvod na sajtu -&gt;")</f>
        <v> Pogledajte proizvod na sajtu -&gt;</v>
      </c>
    </row>
    <row r="5" spans="1:6" ht="12.75">
      <c r="A5" s="2">
        <v>4</v>
      </c>
      <c r="B5" t="s">
        <v>2862</v>
      </c>
      <c r="C5" t="s">
        <v>2863</v>
      </c>
      <c r="D5" s="2">
        <v>23</v>
      </c>
      <c r="E5" s="2">
        <v>3.5</v>
      </c>
      <c r="F5" s="3" t="str">
        <f>HYPERLINK("http://www.sah.co.rs/rk02-1-4.html?___store=serbian"," Pogledajte proizvod na sajtu -&gt;")</f>
        <v> Pogledajte proizvod na sajtu -&gt;</v>
      </c>
    </row>
    <row r="6" spans="1:6" ht="12.75">
      <c r="A6" s="2">
        <v>5</v>
      </c>
      <c r="B6" t="s">
        <v>2864</v>
      </c>
      <c r="C6" t="s">
        <v>2865</v>
      </c>
      <c r="D6" s="2">
        <v>851</v>
      </c>
      <c r="E6" s="2">
        <v>2.5</v>
      </c>
      <c r="F6" s="3" t="str">
        <f>HYPERLINK("http://www.sah.co.rs/td-08.html?___store=serbian"," Pogledajte proizvod na sajtu -&gt;")</f>
        <v> Pogledajte proizvod na sajtu -&gt;</v>
      </c>
    </row>
    <row r="7" spans="1:6" ht="12.75">
      <c r="A7" s="2">
        <v>6</v>
      </c>
      <c r="B7" t="s">
        <v>2866</v>
      </c>
      <c r="C7" t="s">
        <v>2867</v>
      </c>
      <c r="D7" s="2">
        <v>0</v>
      </c>
      <c r="E7" s="2">
        <v>2.5</v>
      </c>
      <c r="F7" s="3" t="str">
        <f>HYPERLINK("http://www.sah.co.rs/td-04.html?___store=serbian"," Pogledajte proizvod na sajtu -&gt;")</f>
        <v> Pogledajte proizvod na sajtu -&gt;</v>
      </c>
    </row>
    <row r="8" spans="1:6" ht="12.75">
      <c r="A8" s="2">
        <v>7</v>
      </c>
      <c r="B8" t="s">
        <v>2868</v>
      </c>
      <c r="C8" t="s">
        <v>2869</v>
      </c>
      <c r="D8" s="2">
        <v>490</v>
      </c>
      <c r="E8" s="2">
        <v>2.5</v>
      </c>
      <c r="F8" s="3" t="str">
        <f>HYPERLINK("http://www.sah.co.rs/td-02.html?___store=serbian"," Pogledajte proizvod na sajtu -&gt;")</f>
        <v> Pogledajte proizvod na sajtu -&gt;</v>
      </c>
    </row>
    <row r="9" spans="1:6" ht="12.75">
      <c r="A9" s="2">
        <v>8</v>
      </c>
      <c r="B9" t="s">
        <v>2870</v>
      </c>
      <c r="C9" t="s">
        <v>2871</v>
      </c>
      <c r="D9" s="2">
        <v>1086</v>
      </c>
      <c r="E9" s="2">
        <v>0.9</v>
      </c>
      <c r="F9" s="3" t="str">
        <f>HYPERLINK("http://www.sah.co.rs/q12.html?___store=serbian"," Pogledajte proizvod na sajtu -&gt;")</f>
        <v> Pogledajte proizvod na sajtu -&gt;</v>
      </c>
    </row>
    <row r="10" spans="1:6" ht="12.75">
      <c r="A10" s="2">
        <v>9</v>
      </c>
      <c r="B10" t="s">
        <v>2872</v>
      </c>
      <c r="C10" t="s">
        <v>2873</v>
      </c>
      <c r="D10" s="2">
        <v>807</v>
      </c>
      <c r="E10" s="2">
        <v>1</v>
      </c>
      <c r="F10" s="3" t="str">
        <f>HYPERLINK("http://www.sah.co.rs/q18.html?___store=serbian"," Pogledajte proizvod na sajtu -&gt;")</f>
        <v> Pogledajte proizvod na sajtu -&gt;</v>
      </c>
    </row>
    <row r="11" spans="1:6" ht="12.75">
      <c r="A11" s="2">
        <v>10</v>
      </c>
      <c r="B11" t="s">
        <v>2874</v>
      </c>
      <c r="C11" t="s">
        <v>2875</v>
      </c>
      <c r="D11" s="2">
        <v>998</v>
      </c>
      <c r="E11" s="2">
        <v>1.5</v>
      </c>
      <c r="F11" s="3" t="str">
        <f>HYPERLINK("http://www.sah.co.rs/q30.html?___store=serbian"," Pogledajte proizvod na sajtu -&gt;")</f>
        <v> Pogledajte proizvod na sajtu -&gt;</v>
      </c>
    </row>
    <row r="12" spans="1:6" ht="12.75">
      <c r="A12" s="2">
        <v>11</v>
      </c>
      <c r="B12" t="s">
        <v>2876</v>
      </c>
      <c r="C12" t="s">
        <v>2877</v>
      </c>
      <c r="D12" s="2">
        <v>11</v>
      </c>
      <c r="E12" s="2">
        <v>40</v>
      </c>
      <c r="F12" s="3" t="str">
        <f>HYPERLINK("http://www.sah.co.rs/ms200-2050.html?___store=serbian"," Pogledajte proizvod na sajtu -&gt;")</f>
        <v> Pogledajte proizvod na sajtu -&gt;</v>
      </c>
    </row>
    <row r="13" spans="1:6" ht="12.75">
      <c r="A13" s="2">
        <v>12</v>
      </c>
      <c r="B13" t="s">
        <v>2878</v>
      </c>
      <c r="C13" t="s">
        <v>2879</v>
      </c>
      <c r="D13" s="2">
        <v>34</v>
      </c>
      <c r="E13" s="2">
        <v>25</v>
      </c>
      <c r="F13" s="3" t="str">
        <f>HYPERLINK("http://www.sah.co.rs/ms100.html?___store=serbian","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2.7109375" style="0" customWidth="1"/>
    <col min="3" max="3" width="47.281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2880</v>
      </c>
      <c r="C2" t="s">
        <v>2881</v>
      </c>
      <c r="D2" s="2">
        <v>59</v>
      </c>
      <c r="E2" s="2">
        <v>13</v>
      </c>
      <c r="F2" s="3" t="str">
        <f>HYPERLINK("http://www.sah.co.rs/cp-dp-a-05.html?___store=serbian"," Pogledajte proizvod na sajtu -&gt;")</f>
        <v> Pogledajte proizvod na sajtu -&gt;</v>
      </c>
    </row>
    <row r="3" spans="1:6" ht="12.75">
      <c r="A3" s="2">
        <v>2</v>
      </c>
      <c r="B3" t="s">
        <v>2882</v>
      </c>
      <c r="C3" t="s">
        <v>2883</v>
      </c>
      <c r="D3" s="2">
        <v>11</v>
      </c>
      <c r="E3" s="2">
        <v>13</v>
      </c>
      <c r="F3" s="3" t="str">
        <f>HYPERLINK("http://www.sah.co.rs/cp-sp-05.html?___store=serbian"," Pogledajte proizvod na sajtu -&gt;")</f>
        <v> Pogledajte proizvod na sajtu -&gt;</v>
      </c>
    </row>
    <row r="4" spans="1:6" ht="12.75">
      <c r="A4" s="2">
        <v>3</v>
      </c>
      <c r="B4" t="s">
        <v>2884</v>
      </c>
      <c r="C4" t="s">
        <v>2885</v>
      </c>
      <c r="D4" s="2">
        <v>66</v>
      </c>
      <c r="E4" s="2">
        <v>13</v>
      </c>
      <c r="F4" s="3" t="str">
        <f>HYPERLINK("http://www.sah.co.rs/cm-p07-05.html?___store=serbian"," Pogledajte proizvod na sajtu -&gt;")</f>
        <v> Pogledajte proizvod na sajtu -&gt;</v>
      </c>
    </row>
    <row r="5" spans="1:6" ht="12.75">
      <c r="A5" s="2">
        <v>4</v>
      </c>
      <c r="B5" t="s">
        <v>2886</v>
      </c>
      <c r="C5" t="s">
        <v>2887</v>
      </c>
      <c r="D5" s="2">
        <v>4</v>
      </c>
      <c r="E5" s="2">
        <v>13</v>
      </c>
      <c r="F5" s="3" t="str">
        <f>HYPERLINK("http://www.sah.co.rs/cp-sl-05.html?___store=serbian"," Pogledajte proizvod na sajtu -&gt;")</f>
        <v> Pogledajte proizvod na sajtu -&gt;</v>
      </c>
    </row>
    <row r="6" spans="1:6" ht="12.75">
      <c r="A6" s="2">
        <v>5</v>
      </c>
      <c r="B6" t="s">
        <v>2888</v>
      </c>
      <c r="C6" t="s">
        <v>2889</v>
      </c>
      <c r="D6" s="2">
        <v>81</v>
      </c>
      <c r="E6" s="2">
        <v>15</v>
      </c>
      <c r="F6" s="3" t="str">
        <f>HYPERLINK("http://www.sah.co.rs/cp-dl-a-05.html?___store=serbian"," Pogledajte proizvod na sajtu -&gt;")</f>
        <v> Pogledajte proizvod na sajtu -&gt;</v>
      </c>
    </row>
    <row r="7" spans="1:6" ht="12.75">
      <c r="A7" s="2">
        <v>6</v>
      </c>
      <c r="B7" t="s">
        <v>2890</v>
      </c>
      <c r="C7" t="s">
        <v>2891</v>
      </c>
      <c r="D7" s="2">
        <v>39</v>
      </c>
      <c r="E7" s="2">
        <v>15</v>
      </c>
      <c r="F7" s="3" t="str">
        <f>HYPERLINK("http://www.sah.co.rs/cm-l15a-05.html?___store=serbian"," Pogledajte proizvod na sajtu -&gt;")</f>
        <v> Pogledajte proizvod na sajtu -&gt;</v>
      </c>
    </row>
    <row r="8" spans="1:6" ht="12.75">
      <c r="A8" s="2">
        <v>7</v>
      </c>
      <c r="B8" t="s">
        <v>2892</v>
      </c>
      <c r="C8" t="s">
        <v>2893</v>
      </c>
      <c r="D8" s="2">
        <v>25</v>
      </c>
      <c r="E8" s="2">
        <v>15</v>
      </c>
      <c r="F8" s="3" t="str">
        <f>HYPERLINK("http://www.sah.co.rs/cm-xl15a-05.html?___store=serbian"," Pogledajte proizvod na sajtu -&gt;")</f>
        <v> Pogledajte proizvod na sajtu -&gt;</v>
      </c>
    </row>
    <row r="9" spans="1:6" ht="12.75">
      <c r="A9" s="2">
        <v>8</v>
      </c>
      <c r="B9" t="s">
        <v>2894</v>
      </c>
      <c r="C9" t="s">
        <v>2895</v>
      </c>
      <c r="D9" s="2">
        <v>11</v>
      </c>
      <c r="E9" s="2">
        <v>25</v>
      </c>
      <c r="F9" s="3" t="str">
        <f>HYPERLINK("http://www.sah.co.rs/cm-xl25-05.html?___store=serbian","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24.00390625" style="0" customWidth="1"/>
    <col min="3" max="3" width="34.1406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2896</v>
      </c>
      <c r="C2" t="s">
        <v>2897</v>
      </c>
      <c r="D2" s="2">
        <v>10</v>
      </c>
      <c r="E2" s="2">
        <v>260</v>
      </c>
      <c r="F2" s="3" t="str">
        <f>HYPERLINK("http://www.sah.co.rs/ms-60st-m01330b-20p4.html?___store=serbian"," Pogledajte proizvod na sajtu -&gt;")</f>
        <v> Pogledajte proizvod na sajtu -&gt;</v>
      </c>
    </row>
    <row r="3" spans="1:6" ht="12.75">
      <c r="A3" s="2">
        <v>2</v>
      </c>
      <c r="B3" t="s">
        <v>2898</v>
      </c>
      <c r="C3" t="s">
        <v>2899</v>
      </c>
      <c r="D3" s="2">
        <v>35</v>
      </c>
      <c r="E3" s="2">
        <v>280</v>
      </c>
      <c r="F3" s="3" t="str">
        <f>HYPERLINK("http://www.sah.co.rs/ms-80st-m02430b-20p7.html?___store=serbian"," Pogledajte proizvod na sajtu -&gt;")</f>
        <v> Pogledajte proizvod na sajtu -&gt;</v>
      </c>
    </row>
    <row r="4" spans="1:6" ht="12.75">
      <c r="A4" s="2">
        <v>3</v>
      </c>
      <c r="B4" t="s">
        <v>2900</v>
      </c>
      <c r="C4" t="s">
        <v>2899</v>
      </c>
      <c r="D4" s="2">
        <v>3</v>
      </c>
      <c r="E4" s="2">
        <v>450</v>
      </c>
      <c r="F4" s="3" t="str">
        <f>HYPERLINK("http://www.sah.co.rs/ms-80st-m02430bz-20p7.html?___store=serbian"," Pogledajte proizvod na sajtu -&gt;")</f>
        <v> Pogledajte proizvod na sajtu -&gt;</v>
      </c>
    </row>
    <row r="5" spans="1:6" ht="12.75">
      <c r="A5" s="2">
        <v>4</v>
      </c>
      <c r="B5" t="s">
        <v>2901</v>
      </c>
      <c r="C5" t="s">
        <v>2902</v>
      </c>
      <c r="D5" s="2">
        <v>15</v>
      </c>
      <c r="E5" s="2">
        <v>320</v>
      </c>
      <c r="F5" s="3" t="str">
        <f>HYPERLINK("http://www.sah.co.rs/ms-80st-m03520b-20p7.html?___store=serbian"," Pogledajte proizvod na sajtu -&gt;")</f>
        <v> Pogledajte proizvod na sajtu -&gt;</v>
      </c>
    </row>
    <row r="6" spans="1:6" ht="12.75">
      <c r="A6" s="2">
        <v>5</v>
      </c>
      <c r="B6" t="s">
        <v>2903</v>
      </c>
      <c r="C6" t="s">
        <v>2902</v>
      </c>
      <c r="D6" s="2">
        <v>4</v>
      </c>
      <c r="E6" s="2">
        <v>490</v>
      </c>
      <c r="F6" s="3" t="str">
        <f>HYPERLINK("http://www.sah.co.rs/ms-80st-m03520bz-20p7.html?___store=serbian"," Pogledajte proizvod na sajtu -&gt;")</f>
        <v> Pogledajte proizvod na sajtu -&gt;</v>
      </c>
    </row>
    <row r="7" spans="1:6" ht="12.75">
      <c r="A7" s="2">
        <v>6</v>
      </c>
      <c r="B7" t="s">
        <v>2904</v>
      </c>
      <c r="C7" t="s">
        <v>2905</v>
      </c>
      <c r="D7" s="2">
        <v>3</v>
      </c>
      <c r="E7" s="2">
        <v>610</v>
      </c>
      <c r="F7" s="3" t="str">
        <f>HYPERLINK("http://www.sah.co.rs/ms-130st-m10015bz-21p5.html?___store=serbian"," Pogledajte proizvod na sajtu -&gt;")</f>
        <v> Pogledajte proizvod na sajtu -&gt;</v>
      </c>
    </row>
    <row r="8" spans="1:6" ht="12.75">
      <c r="A8" s="2">
        <v>7</v>
      </c>
      <c r="B8" t="s">
        <v>2906</v>
      </c>
      <c r="C8" t="s">
        <v>2905</v>
      </c>
      <c r="D8" s="2">
        <v>18</v>
      </c>
      <c r="E8" s="2">
        <v>410</v>
      </c>
      <c r="F8" s="3" t="str">
        <f>HYPERLINK("http://www.sah.co.rs/ms-130st-m10015b-21p5.html?___store=serbian"," Pogledajte proizvod na sajtu -&gt;")</f>
        <v> Pogledajte proizvod na sajtu -&gt;</v>
      </c>
    </row>
    <row r="9" spans="1:6" ht="12.75">
      <c r="A9" s="2">
        <v>8</v>
      </c>
      <c r="B9" t="s">
        <v>2907</v>
      </c>
      <c r="C9" t="s">
        <v>2908</v>
      </c>
      <c r="D9" s="2">
        <v>19</v>
      </c>
      <c r="E9" s="2">
        <v>410</v>
      </c>
      <c r="F9" s="3" t="str">
        <f>HYPERLINK("http://www.sah.co.rs/ms-130st-m10015b-41p5.html?___store=serbian"," Pogledajte proizvod na sajtu -&gt;")</f>
        <v> Pogledajte proizvod na sajtu -&gt;</v>
      </c>
    </row>
    <row r="10" spans="1:6" ht="12.75">
      <c r="A10" s="2">
        <v>9</v>
      </c>
      <c r="B10" t="s">
        <v>2909</v>
      </c>
      <c r="C10" t="s">
        <v>2910</v>
      </c>
      <c r="D10" s="2">
        <v>16</v>
      </c>
      <c r="E10" s="2">
        <v>350</v>
      </c>
      <c r="F10" s="3" t="str">
        <f>HYPERLINK("http://www.sah.co.rs/ms-110st-m05030b-21p5.html?___store=serbian"," Pogledajte proizvod na sajtu -&gt;")</f>
        <v> Pogledajte proizvod na sajtu -&gt;</v>
      </c>
    </row>
    <row r="11" spans="1:6" ht="12.75">
      <c r="A11" s="2">
        <v>10</v>
      </c>
      <c r="B11" t="s">
        <v>2911</v>
      </c>
      <c r="C11" t="s">
        <v>2910</v>
      </c>
      <c r="D11" s="2">
        <v>5</v>
      </c>
      <c r="E11" s="2">
        <v>550</v>
      </c>
      <c r="F11" s="3" t="str">
        <f>HYPERLINK("http://www.sah.co.rs/ms-110st-m05030bz-21p5.html?___store=serbian"," Pogledajte proizvod na sajtu -&gt;")</f>
        <v> Pogledajte proizvod na sajtu -&gt;</v>
      </c>
    </row>
    <row r="12" spans="1:6" ht="12.75">
      <c r="A12" s="2">
        <v>11</v>
      </c>
      <c r="B12" t="s">
        <v>2912</v>
      </c>
      <c r="C12" t="s">
        <v>2913</v>
      </c>
      <c r="D12" s="2">
        <v>14</v>
      </c>
      <c r="E12" s="2">
        <v>350</v>
      </c>
      <c r="F12" s="3" t="str">
        <f>HYPERLINK("http://www.sah.co.rs/ms-110st-m05030b-41p5.html?___store=serbian"," Pogledajte proizvod na sajtu -&gt;")</f>
        <v> Pogledajte proizvod na sajtu -&gt;</v>
      </c>
    </row>
    <row r="13" spans="1:6" ht="12.75">
      <c r="A13" s="2">
        <v>12</v>
      </c>
      <c r="B13" t="s">
        <v>2914</v>
      </c>
      <c r="C13" t="s">
        <v>2915</v>
      </c>
      <c r="D13" s="2">
        <v>13</v>
      </c>
      <c r="E13" s="2">
        <v>400</v>
      </c>
      <c r="F13" s="3" t="str">
        <f>HYPERLINK("http://www.sah.co.rs/ms-130st-m07725b-22p0.html?___store=serbian"," Pogledajte proizvod na sajtu -&gt;")</f>
        <v> Pogledajte proizvod na sajtu -&gt;</v>
      </c>
    </row>
    <row r="14" spans="1:6" ht="12.75">
      <c r="A14" s="2">
        <v>13</v>
      </c>
      <c r="B14" t="s">
        <v>2916</v>
      </c>
      <c r="C14" t="s">
        <v>2917</v>
      </c>
      <c r="D14" s="2">
        <v>12</v>
      </c>
      <c r="E14" s="2">
        <v>470</v>
      </c>
      <c r="F14" s="3" t="str">
        <f>HYPERLINK("http://www.sah.co.rs/ms-130st-m15015b-22p3.html?___store=serbian"," Pogledajte proizvod na sajtu -&gt;")</f>
        <v> Pogledajte proizvod na sajtu -&gt;</v>
      </c>
    </row>
    <row r="15" spans="1:6" ht="12.75">
      <c r="A15" s="2">
        <v>14</v>
      </c>
      <c r="B15" t="s">
        <v>2918</v>
      </c>
      <c r="C15" t="s">
        <v>2917</v>
      </c>
      <c r="D15" s="2">
        <v>6</v>
      </c>
      <c r="E15" s="2">
        <v>700</v>
      </c>
      <c r="F15" s="3" t="str">
        <f>HYPERLINK("http://www.sah.co.rs/ms-130st-m15015bz-22p3.html?___store=serbian"," Pogledajte proizvod na sajtu -&gt;")</f>
        <v> Pogledajte proizvod na sajtu -&gt;</v>
      </c>
    </row>
    <row r="16" spans="1:6" ht="12.75">
      <c r="A16" s="2">
        <v>15</v>
      </c>
      <c r="B16" t="s">
        <v>2919</v>
      </c>
      <c r="C16" t="s">
        <v>2920</v>
      </c>
      <c r="D16" s="2">
        <v>5</v>
      </c>
      <c r="E16" s="2">
        <v>800</v>
      </c>
      <c r="F16" s="3" t="str">
        <f>HYPERLINK("http://www.sah.co.rs/ms-180st-m10030b-43p0.html?___store=serbian"," Pogledajte proizvod na sajtu -&gt;")</f>
        <v> Pogledajte proizvod na sajtu -&gt;</v>
      </c>
    </row>
    <row r="17" spans="1:6" ht="12.75">
      <c r="A17" s="2">
        <v>16</v>
      </c>
      <c r="B17" t="s">
        <v>2921</v>
      </c>
      <c r="C17" t="s">
        <v>2922</v>
      </c>
      <c r="D17" s="2">
        <v>6</v>
      </c>
      <c r="E17" s="2">
        <v>900</v>
      </c>
      <c r="F17" s="3" t="str">
        <f>HYPERLINK("http://www.sah.co.rs/ms-180st-m19015b-23p0.html?___store=serbian"," Pogledajte proizvod na sajtu -&gt;")</f>
        <v> Pogledajte proizvod na sajtu -&gt;</v>
      </c>
    </row>
    <row r="18" spans="1:6" ht="12.75">
      <c r="A18" s="2">
        <v>17</v>
      </c>
      <c r="B18" t="s">
        <v>2923</v>
      </c>
      <c r="C18" t="s">
        <v>2924</v>
      </c>
      <c r="D18" s="2">
        <v>5</v>
      </c>
      <c r="E18" s="2">
        <v>1400</v>
      </c>
      <c r="F18" s="3" t="str">
        <f>HYPERLINK("http://www.sah.co.rs/ms-180st-m19015bz-43p0.html?___store=serbian"," Pogledajte proizvod na sajtu -&gt;")</f>
        <v> Pogledajte proizvod na sajtu -&gt;</v>
      </c>
    </row>
    <row r="19" spans="1:6" ht="12.75">
      <c r="A19" s="2">
        <v>18</v>
      </c>
      <c r="B19" t="s">
        <v>2925</v>
      </c>
      <c r="C19" t="s">
        <v>2924</v>
      </c>
      <c r="D19" s="2">
        <v>5</v>
      </c>
      <c r="E19" s="2">
        <v>1000</v>
      </c>
      <c r="F19" s="3" t="str">
        <f>HYPERLINK("http://www.sah.co.rs/ms-180st-m19015b-43p0.html?___store=serbian"," Pogledajte proizvod na sajtu -&gt;")</f>
        <v> Pogledajte proizvod na sajtu -&gt;</v>
      </c>
    </row>
    <row r="20" spans="1:6" ht="12.75">
      <c r="A20" s="2">
        <v>19</v>
      </c>
      <c r="B20" t="s">
        <v>2926</v>
      </c>
      <c r="C20" t="s">
        <v>2927</v>
      </c>
      <c r="D20" s="2">
        <v>0</v>
      </c>
      <c r="E20" s="2">
        <v>1100</v>
      </c>
      <c r="F20" s="3" t="str">
        <f>HYPERLINK("http://www.sah.co.rs/ms-180st-m35015b-45p5.html?___store=serbian","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3.421875" style="0" customWidth="1"/>
    <col min="3" max="3" width="59.281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204</v>
      </c>
      <c r="C2" t="s">
        <v>205</v>
      </c>
      <c r="D2" s="2">
        <v>2</v>
      </c>
      <c r="E2" s="2">
        <v>280</v>
      </c>
      <c r="F2" s="3" t="str">
        <f>HYPERLINK("http://www.sah.co.rs/dl-ws210.html?___store=serbian"," Pogledajte proizvod na sajtu -&gt;")</f>
        <v> Pogledajte proizvod na sajtu -&gt;</v>
      </c>
    </row>
    <row r="3" spans="1:6" ht="12.75">
      <c r="A3" s="2">
        <v>2</v>
      </c>
      <c r="B3" t="s">
        <v>206</v>
      </c>
      <c r="C3" t="s">
        <v>207</v>
      </c>
      <c r="D3" s="2">
        <v>5</v>
      </c>
      <c r="E3" s="2">
        <v>400</v>
      </c>
      <c r="F3" s="3" t="str">
        <f>HYPERLINK("http://www.sah.co.rs/s500-ex-gsm.html?___store=serbian"," Pogledajte proizvod na sajtu -&gt;")</f>
        <v> Pogledajte proizvod na sajtu -&gt;</v>
      </c>
    </row>
    <row r="4" spans="1:6" ht="12.75">
      <c r="A4" s="2">
        <v>3</v>
      </c>
      <c r="B4" t="s">
        <v>208</v>
      </c>
      <c r="C4" t="s">
        <v>209</v>
      </c>
      <c r="D4" s="2">
        <v>18</v>
      </c>
      <c r="E4" s="2">
        <v>110</v>
      </c>
      <c r="F4" s="3" t="str">
        <f>HYPERLINK("http://www.sah.co.rs/he173.html?___store=serbian"," Pogledajte proizvod na sajtu -&gt;")</f>
        <v> Pogledajte proizvod na sajtu -&gt;</v>
      </c>
    </row>
    <row r="5" spans="1:6" ht="12.75">
      <c r="A5" s="2">
        <v>4</v>
      </c>
      <c r="B5" t="s">
        <v>210</v>
      </c>
      <c r="C5" t="s">
        <v>211</v>
      </c>
      <c r="D5" s="2">
        <v>12</v>
      </c>
      <c r="E5" s="2">
        <v>75</v>
      </c>
      <c r="F5" s="3" t="str">
        <f>HYPERLINK("http://www.sah.co.rs/he170.html?___store=serbian"," Pogledajte proizvod na sajtu -&gt;")</f>
        <v> Pogledajte proizvod na sajtu -&gt;</v>
      </c>
    </row>
    <row r="6" spans="1:6" ht="12.75">
      <c r="A6" s="2">
        <v>5</v>
      </c>
      <c r="B6" t="s">
        <v>212</v>
      </c>
      <c r="C6" t="s">
        <v>213</v>
      </c>
      <c r="D6" s="2">
        <v>7</v>
      </c>
      <c r="E6" s="2">
        <v>220</v>
      </c>
      <c r="F6" s="3" t="str">
        <f>HYPERLINK("http://www.sah.co.rs/r2100e.html?___store=serbian","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4.421875" style="0" customWidth="1"/>
    <col min="3" max="3" width="85.281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2928</v>
      </c>
      <c r="C2" t="s">
        <v>2929</v>
      </c>
      <c r="D2" s="2">
        <v>3</v>
      </c>
      <c r="E2" s="2">
        <v>110</v>
      </c>
      <c r="F2" s="3" t="str">
        <f>HYPERLINK("http://www.sah.co.rs/px80n010s0.html?___store=serbian"," Pogledajte proizvod na sajtu -&gt;")</f>
        <v> Pogledajte proizvod na sajtu -&gt;</v>
      </c>
    </row>
    <row r="3" spans="1:6" ht="12.75">
      <c r="A3" s="2">
        <v>2</v>
      </c>
      <c r="B3" t="s">
        <v>2930</v>
      </c>
      <c r="C3" t="s">
        <v>2931</v>
      </c>
      <c r="D3" s="2">
        <v>0</v>
      </c>
      <c r="E3" s="2">
        <v>200</v>
      </c>
      <c r="F3" s="3" t="str">
        <f>HYPERLINK("http://www.sah.co.rs/pf-80-10-s2-p2.html?___store=serbian"," Pogledajte proizvod na sajtu -&gt;")</f>
        <v> Pogledajte proizvod na sajtu -&gt;</v>
      </c>
    </row>
    <row r="4" spans="1:6" ht="12.75">
      <c r="A4" s="2">
        <v>3</v>
      </c>
      <c r="B4" t="s">
        <v>2932</v>
      </c>
      <c r="C4" t="s">
        <v>2933</v>
      </c>
      <c r="D4" s="2">
        <v>2</v>
      </c>
      <c r="E4" s="2">
        <v>200</v>
      </c>
      <c r="F4" s="3" t="str">
        <f>HYPERLINK("http://www.sah.co.rs/px130n010s0.html?___store=serbian"," Pogledajte proizvod na sajtu -&gt;")</f>
        <v> Pogledajte proizvod na sajtu -&gt;</v>
      </c>
    </row>
    <row r="5" spans="1:6" ht="12.75">
      <c r="A5" s="2">
        <v>4</v>
      </c>
      <c r="B5" t="s">
        <v>2934</v>
      </c>
      <c r="C5" t="s">
        <v>2935</v>
      </c>
      <c r="D5" s="2">
        <v>2</v>
      </c>
      <c r="E5" s="2">
        <v>160</v>
      </c>
      <c r="F5" s="3" t="str">
        <f>HYPERLINK("http://www.sah.co.rs/px110n0090s0.html?___store=serbian","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2.7109375" style="0" customWidth="1"/>
    <col min="3" max="3" width="36.71093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2936</v>
      </c>
      <c r="C2" t="s">
        <v>2937</v>
      </c>
      <c r="D2" s="2">
        <v>10</v>
      </c>
      <c r="E2" s="2">
        <v>280</v>
      </c>
      <c r="F2" s="3" t="str">
        <f>HYPERLINK("http://www.sah.co.rs/ds2-20p4-as.html?___store=serbian"," Pogledajte proizvod na sajtu -&gt;")</f>
        <v> Pogledajte proizvod na sajtu -&gt;</v>
      </c>
    </row>
    <row r="3" spans="1:6" ht="12.75">
      <c r="A3" s="2">
        <v>2</v>
      </c>
      <c r="B3" t="s">
        <v>2938</v>
      </c>
      <c r="C3" t="s">
        <v>2939</v>
      </c>
      <c r="D3" s="2">
        <v>1</v>
      </c>
      <c r="E3" s="2">
        <v>400</v>
      </c>
      <c r="F3" s="3" t="str">
        <f>HYPERLINK("http://www.sah.co.rs/ds3-20p7.html?___store=serbian"," Pogledajte proizvod na sajtu -&gt;")</f>
        <v> Pogledajte proizvod na sajtu -&gt;</v>
      </c>
    </row>
    <row r="4" spans="1:6" ht="12.75">
      <c r="A4" s="2">
        <v>3</v>
      </c>
      <c r="B4" t="s">
        <v>2940</v>
      </c>
      <c r="C4" t="s">
        <v>2939</v>
      </c>
      <c r="D4" s="2">
        <v>2</v>
      </c>
      <c r="E4" s="2">
        <v>280</v>
      </c>
      <c r="F4" s="3" t="str">
        <f>HYPERLINK("http://www.sah.co.rs/ds2-20p7-a.html?___store=serbian"," Pogledajte proizvod na sajtu -&gt;")</f>
        <v> Pogledajte proizvod na sajtu -&gt;</v>
      </c>
    </row>
    <row r="5" spans="1:6" ht="12.75">
      <c r="A5" s="2">
        <v>4</v>
      </c>
      <c r="B5" t="s">
        <v>2941</v>
      </c>
      <c r="C5" t="s">
        <v>2942</v>
      </c>
      <c r="D5" s="2">
        <v>45</v>
      </c>
      <c r="E5" s="2">
        <v>280</v>
      </c>
      <c r="F5" s="3" t="str">
        <f>HYPERLINK("http://www.sah.co.rs/ds2-20p7-as.html?___store=serbian"," Pogledajte proizvod na sajtu -&gt;")</f>
        <v> Pogledajte proizvod na sajtu -&gt;</v>
      </c>
    </row>
    <row r="6" spans="1:6" ht="12.75">
      <c r="A6" s="2">
        <v>5</v>
      </c>
      <c r="B6" t="s">
        <v>2943</v>
      </c>
      <c r="C6" t="s">
        <v>2944</v>
      </c>
      <c r="D6" s="2">
        <v>33</v>
      </c>
      <c r="E6" s="2">
        <v>320</v>
      </c>
      <c r="F6" s="3" t="str">
        <f>HYPERLINK("http://www.sah.co.rs/ds2-21p5-as.html?___store=serbian"," Pogledajte proizvod na sajtu -&gt;")</f>
        <v> Pogledajte proizvod na sajtu -&gt;</v>
      </c>
    </row>
    <row r="7" spans="1:6" ht="12.75">
      <c r="A7" s="2">
        <v>6</v>
      </c>
      <c r="B7" t="s">
        <v>2945</v>
      </c>
      <c r="C7" t="s">
        <v>2944</v>
      </c>
      <c r="D7" s="2">
        <v>3</v>
      </c>
      <c r="E7" s="2">
        <v>420</v>
      </c>
      <c r="F7" s="3" t="str">
        <f>HYPERLINK("http://www.sah.co.rs/ds3-21p5.html?___store=serbian"," Pogledajte proizvod na sajtu -&gt;")</f>
        <v> Pogledajte proizvod na sajtu -&gt;</v>
      </c>
    </row>
    <row r="8" spans="1:6" ht="12.75">
      <c r="A8" s="2">
        <v>7</v>
      </c>
      <c r="B8" t="s">
        <v>2946</v>
      </c>
      <c r="C8" t="s">
        <v>2947</v>
      </c>
      <c r="D8" s="2">
        <v>21</v>
      </c>
      <c r="E8" s="2">
        <v>440</v>
      </c>
      <c r="F8" s="3" t="str">
        <f>HYPERLINK("http://www.sah.co.rs/ds2-41p5-as.html?___store=serbian"," Pogledajte proizvod na sajtu -&gt;")</f>
        <v> Pogledajte proizvod na sajtu -&gt;</v>
      </c>
    </row>
    <row r="9" spans="1:6" ht="12.75">
      <c r="A9" s="2">
        <v>8</v>
      </c>
      <c r="B9" t="s">
        <v>2948</v>
      </c>
      <c r="C9" t="s">
        <v>2949</v>
      </c>
      <c r="D9" s="2">
        <v>20</v>
      </c>
      <c r="E9" s="2">
        <v>340</v>
      </c>
      <c r="F9" s="3" t="str">
        <f>HYPERLINK("http://www.sah.co.rs/ds2-22p3-as.html?___store=serbian"," Pogledajte proizvod na sajtu -&gt;")</f>
        <v> Pogledajte proizvod na sajtu -&gt;</v>
      </c>
    </row>
    <row r="10" spans="1:6" ht="12.75">
      <c r="A10" s="2">
        <v>9</v>
      </c>
      <c r="B10" t="s">
        <v>2950</v>
      </c>
      <c r="C10" t="s">
        <v>2949</v>
      </c>
      <c r="D10" s="2">
        <v>1</v>
      </c>
      <c r="E10" s="2">
        <v>340</v>
      </c>
      <c r="F10" s="3" t="str">
        <f>HYPERLINK("http://www.sah.co.rs/ds2-22p3-a.html?___store=serbian"," Pogledajte proizvod na sajtu -&gt;")</f>
        <v> Pogledajte proizvod na sajtu -&gt;</v>
      </c>
    </row>
    <row r="11" spans="1:6" ht="12.75">
      <c r="A11" s="2">
        <v>10</v>
      </c>
      <c r="B11" t="s">
        <v>2951</v>
      </c>
      <c r="C11" t="s">
        <v>2952</v>
      </c>
      <c r="D11" s="2">
        <v>5</v>
      </c>
      <c r="E11" s="2">
        <v>420</v>
      </c>
      <c r="F11" s="3" t="str">
        <f>HYPERLINK("http://www.sah.co.rs/ds2-23p0-a.html?___store=serbian"," Pogledajte proizvod na sajtu -&gt;")</f>
        <v> Pogledajte proizvod na sajtu -&gt;</v>
      </c>
    </row>
    <row r="12" spans="1:6" ht="12.75">
      <c r="A12" s="2">
        <v>11</v>
      </c>
      <c r="B12" t="s">
        <v>2953</v>
      </c>
      <c r="C12" t="s">
        <v>2954</v>
      </c>
      <c r="D12" s="2">
        <v>9</v>
      </c>
      <c r="E12" s="2">
        <v>480</v>
      </c>
      <c r="F12" s="3" t="str">
        <f>HYPERLINK("http://www.sah.co.rs/ds2-43p0-as.html?___store=serbian"," Pogledajte proizvod na sajtu -&gt;")</f>
        <v> Pogledajte proizvod na sajtu -&gt;</v>
      </c>
    </row>
    <row r="13" spans="1:6" ht="12.75">
      <c r="A13" s="2">
        <v>12</v>
      </c>
      <c r="B13" t="s">
        <v>2955</v>
      </c>
      <c r="C13" t="s">
        <v>2956</v>
      </c>
      <c r="D13" s="2">
        <v>0</v>
      </c>
      <c r="E13" s="2">
        <v>1300</v>
      </c>
      <c r="F13" s="3" t="str">
        <f>HYPERLINK("http://www.sah.co.rs/ds2-45p5-a.html?___store=serbian","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32.00390625" style="0" customWidth="1"/>
    <col min="3" max="3" width="65.71093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2957</v>
      </c>
      <c r="C2" t="s">
        <v>2958</v>
      </c>
      <c r="D2" s="2">
        <v>474</v>
      </c>
      <c r="E2" s="2">
        <v>0.6</v>
      </c>
      <c r="F2" s="3" t="str">
        <f>HYPERLINK("http://www.sah.co.rs/ad-16-bela-12v.html?___store=serbian"," Pogledajte proizvod na sajtu -&gt;")</f>
        <v> Pogledajte proizvod na sajtu -&gt;</v>
      </c>
    </row>
    <row r="3" spans="1:6" ht="12.75">
      <c r="A3" s="2">
        <v>2</v>
      </c>
      <c r="B3" t="s">
        <v>2959</v>
      </c>
      <c r="C3" t="s">
        <v>2960</v>
      </c>
      <c r="D3" s="2">
        <v>246</v>
      </c>
      <c r="E3" s="2">
        <v>0.9</v>
      </c>
      <c r="F3" s="3" t="str">
        <f>HYPERLINK("http://www.sah.co.rs/ad-16-bela-220v.html?___store=serbian"," Pogledajte proizvod na sajtu -&gt;")</f>
        <v> Pogledajte proizvod na sajtu -&gt;</v>
      </c>
    </row>
    <row r="4" spans="1:6" ht="12.75">
      <c r="A4" s="2">
        <v>3</v>
      </c>
      <c r="B4" t="s">
        <v>2961</v>
      </c>
      <c r="C4" t="s">
        <v>2960</v>
      </c>
      <c r="D4" s="2">
        <v>210</v>
      </c>
      <c r="E4" s="2">
        <v>0.7</v>
      </c>
      <c r="F4" s="3" t="str">
        <f>HYPERLINK("http://www.sah.co.rs/qw-16-bela-220v.html?___store=serbian"," Pogledajte proizvod na sajtu -&gt;")</f>
        <v> Pogledajte proizvod na sajtu -&gt;</v>
      </c>
    </row>
    <row r="5" spans="1:6" ht="12.75">
      <c r="A5" s="2">
        <v>4</v>
      </c>
      <c r="B5" t="s">
        <v>2962</v>
      </c>
      <c r="C5" t="s">
        <v>2963</v>
      </c>
      <c r="D5" s="2">
        <v>187</v>
      </c>
      <c r="E5" s="2">
        <v>0.65</v>
      </c>
      <c r="F5" s="3" t="str">
        <f>HYPERLINK("http://www.sah.co.rs/qw-16-bela-24v.html?___store=serbian"," Pogledajte proizvod na sajtu -&gt;")</f>
        <v> Pogledajte proizvod na sajtu -&gt;</v>
      </c>
    </row>
    <row r="6" spans="1:6" ht="12.75">
      <c r="A6" s="2">
        <v>5</v>
      </c>
      <c r="B6" t="s">
        <v>2964</v>
      </c>
      <c r="C6" t="s">
        <v>2963</v>
      </c>
      <c r="D6" s="2">
        <v>358</v>
      </c>
      <c r="E6" s="2">
        <v>0.9</v>
      </c>
      <c r="F6" s="3" t="str">
        <f>HYPERLINK("http://www.sah.co.rs/ad-16-bela-24v.html?___store=serbian"," Pogledajte proizvod na sajtu -&gt;")</f>
        <v> Pogledajte proizvod na sajtu -&gt;</v>
      </c>
    </row>
    <row r="7" spans="1:6" ht="12.75">
      <c r="A7" s="2">
        <v>6</v>
      </c>
      <c r="B7" t="s">
        <v>2965</v>
      </c>
      <c r="C7" t="s">
        <v>2966</v>
      </c>
      <c r="D7" s="2">
        <v>510</v>
      </c>
      <c r="E7" s="2">
        <v>0.6</v>
      </c>
      <c r="F7" s="3" t="str">
        <f>HYPERLINK("http://www.sah.co.rs/ad-22ds-bela-12v.html?___store=serbian"," Pogledajte proizvod na sajtu -&gt;")</f>
        <v> Pogledajte proizvod na sajtu -&gt;</v>
      </c>
    </row>
    <row r="8" spans="1:6" ht="12.75">
      <c r="A8" s="2">
        <v>7</v>
      </c>
      <c r="B8" t="s">
        <v>2967</v>
      </c>
      <c r="C8" t="s">
        <v>2968</v>
      </c>
      <c r="D8" s="2">
        <v>488</v>
      </c>
      <c r="E8" s="2">
        <v>0.7</v>
      </c>
      <c r="F8" s="3" t="str">
        <f aca="true" t="shared" si="0" ref="F8:F9">HYPERLINK("http://www.sah.co.rs/ad-22ds-bela-220v.html?___store=serbian"," Pogledajte proizvod na sajtu -&gt;")</f>
        <v> Pogledajte proizvod na sajtu -&gt;</v>
      </c>
    </row>
    <row r="9" spans="1:6" ht="12.75">
      <c r="A9" s="2">
        <v>8</v>
      </c>
      <c r="B9" t="s">
        <v>2967</v>
      </c>
      <c r="C9" t="s">
        <v>2968</v>
      </c>
      <c r="D9" s="2">
        <v>112</v>
      </c>
      <c r="E9" s="2">
        <v>0.9</v>
      </c>
      <c r="F9" s="3" t="str">
        <f t="shared" si="0"/>
        <v> Pogledajte proizvod na sajtu -&gt;</v>
      </c>
    </row>
    <row r="10" spans="1:6" ht="12.75">
      <c r="A10" s="2">
        <v>9</v>
      </c>
      <c r="B10" t="s">
        <v>2969</v>
      </c>
      <c r="C10" t="s">
        <v>2968</v>
      </c>
      <c r="D10" s="2">
        <v>299</v>
      </c>
      <c r="E10" s="2">
        <v>0.7</v>
      </c>
      <c r="F10" s="3" t="str">
        <f>HYPERLINK("http://www.sah.co.rs/qw-22-bela-220v.html?___store=serbian"," Pogledajte proizvod na sajtu -&gt;")</f>
        <v> Pogledajte proizvod na sajtu -&gt;</v>
      </c>
    </row>
    <row r="11" spans="1:6" ht="12.75">
      <c r="A11" s="2">
        <v>10</v>
      </c>
      <c r="B11" t="s">
        <v>2970</v>
      </c>
      <c r="C11" t="s">
        <v>2971</v>
      </c>
      <c r="D11" s="2">
        <v>269</v>
      </c>
      <c r="E11" s="2">
        <v>0.9</v>
      </c>
      <c r="F11" s="3" t="str">
        <f>HYPERLINK("http://www.sah.co.rs/ad-22ds-bela-24v.html?___store=serbian"," Pogledajte proizvod na sajtu -&gt;")</f>
        <v> Pogledajte proizvod na sajtu -&gt;</v>
      </c>
    </row>
    <row r="12" spans="1:6" ht="12.75">
      <c r="A12" s="2">
        <v>11</v>
      </c>
      <c r="B12" t="s">
        <v>2972</v>
      </c>
      <c r="C12" t="s">
        <v>2971</v>
      </c>
      <c r="D12" s="2">
        <v>209</v>
      </c>
      <c r="E12" s="2">
        <v>0.7</v>
      </c>
      <c r="F12" s="3" t="str">
        <f>HYPERLINK("http://www.sah.co.rs/qw-22-bela-24v.html?___store=serbian"," Pogledajte proizvod na sajtu -&gt;")</f>
        <v> Pogledajte proizvod na sajtu -&gt;</v>
      </c>
    </row>
    <row r="13" spans="1:6" ht="12.75">
      <c r="A13" s="2">
        <v>12</v>
      </c>
      <c r="B13" t="s">
        <v>2973</v>
      </c>
      <c r="C13" t="s">
        <v>2974</v>
      </c>
      <c r="D13" s="2">
        <v>182</v>
      </c>
      <c r="E13" s="2">
        <v>0.8</v>
      </c>
      <c r="F13" s="3" t="str">
        <f>HYPERLINK("http://www.sah.co.rs/ad-c8-bela-220v.html?___store=serbian"," Pogledajte proizvod na sajtu -&gt;")</f>
        <v> Pogledajte proizvod na sajtu -&gt;</v>
      </c>
    </row>
    <row r="14" spans="1:6" ht="12.75">
      <c r="A14" s="2">
        <v>13</v>
      </c>
      <c r="B14" t="s">
        <v>2975</v>
      </c>
      <c r="C14" t="s">
        <v>2976</v>
      </c>
      <c r="D14" s="2">
        <v>694</v>
      </c>
      <c r="E14" s="2">
        <v>0.8</v>
      </c>
      <c r="F14" s="3" t="str">
        <f>HYPERLINK("http://www.sah.co.rs/ad-c8-bela-24v.html?___store=serbian"," Pogledajte proizvod na sajtu -&gt;")</f>
        <v> Pogledajte proizvod na sajtu -&gt;</v>
      </c>
    </row>
    <row r="15" spans="1:6" ht="12.75">
      <c r="A15" s="2">
        <v>14</v>
      </c>
      <c r="B15" t="s">
        <v>2977</v>
      </c>
      <c r="C15" t="s">
        <v>2978</v>
      </c>
      <c r="D15" s="2">
        <v>85</v>
      </c>
      <c r="E15" s="2">
        <v>1.5</v>
      </c>
      <c r="F15" s="3" t="str">
        <f>HYPERLINK("http://www.sah.co.rs/ad-22ss-crvena-zelena-220v.html?___store=serbian"," Pogledajte proizvod na sajtu -&gt;")</f>
        <v> Pogledajte proizvod na sajtu -&gt;</v>
      </c>
    </row>
    <row r="16" spans="1:6" ht="12.75">
      <c r="A16" s="2">
        <v>15</v>
      </c>
      <c r="B16" t="s">
        <v>2979</v>
      </c>
      <c r="C16" t="s">
        <v>2980</v>
      </c>
      <c r="D16" s="2">
        <v>119</v>
      </c>
      <c r="E16" s="2">
        <v>1.5</v>
      </c>
      <c r="F16" s="3" t="str">
        <f>HYPERLINK("http://www.sah.co.rs/ad-22d-b-crvena-zelena-24v.html?___store=serbian"," Pogledajte proizvod na sajtu -&gt;")</f>
        <v> Pogledajte proizvod na sajtu -&gt;</v>
      </c>
    </row>
    <row r="17" spans="1:6" ht="12.75">
      <c r="A17" s="2">
        <v>16</v>
      </c>
      <c r="B17" t="s">
        <v>2981</v>
      </c>
      <c r="C17" t="s">
        <v>2980</v>
      </c>
      <c r="D17" s="2">
        <v>57</v>
      </c>
      <c r="E17" s="2">
        <v>1.5</v>
      </c>
      <c r="F17" s="3" t="str">
        <f>HYPERLINK("http://www.sah.co.rs/ad-22ss-crvena-zelena-24v.html?___store=serbian"," Pogledajte proizvod na sajtu -&gt;")</f>
        <v> Pogledajte proizvod na sajtu -&gt;</v>
      </c>
    </row>
    <row r="18" spans="1:6" ht="12.75">
      <c r="A18" s="2">
        <v>17</v>
      </c>
      <c r="B18" t="s">
        <v>2982</v>
      </c>
      <c r="C18" t="s">
        <v>2983</v>
      </c>
      <c r="D18" s="2">
        <v>357</v>
      </c>
      <c r="E18" s="2">
        <v>0.6</v>
      </c>
      <c r="F18" s="3" t="str">
        <f>HYPERLINK("http://www.sah.co.rs/ad-16-crvena-12v.html?___store=serbian"," Pogledajte proizvod na sajtu -&gt;")</f>
        <v> Pogledajte proizvod na sajtu -&gt;</v>
      </c>
    </row>
    <row r="19" spans="1:6" ht="12.75">
      <c r="A19" s="2">
        <v>18</v>
      </c>
      <c r="B19" t="s">
        <v>2984</v>
      </c>
      <c r="C19" t="s">
        <v>2985</v>
      </c>
      <c r="D19" s="2">
        <v>336</v>
      </c>
      <c r="E19" s="2">
        <v>0.8</v>
      </c>
      <c r="F19" s="3" t="str">
        <f>HYPERLINK("http://www.sah.co.rs/ad-16-crvena-220v.html?___store=serbian"," Pogledajte proizvod na sajtu -&gt;")</f>
        <v> Pogledajte proizvod na sajtu -&gt;</v>
      </c>
    </row>
    <row r="20" spans="1:6" ht="12.75">
      <c r="A20" s="2">
        <v>19</v>
      </c>
      <c r="B20" t="s">
        <v>2986</v>
      </c>
      <c r="C20" t="s">
        <v>2987</v>
      </c>
      <c r="D20" s="2">
        <v>771</v>
      </c>
      <c r="E20" s="2">
        <v>0.65</v>
      </c>
      <c r="F20" s="3" t="str">
        <f>HYPERLINK("http://www.sah.co.rs/qw-16-crvena-24v.html?___store=serbian"," Pogledajte proizvod na sajtu -&gt;")</f>
        <v> Pogledajte proizvod na sajtu -&gt;</v>
      </c>
    </row>
    <row r="21" spans="1:6" ht="12.75">
      <c r="A21" s="2">
        <v>20</v>
      </c>
      <c r="B21" t="s">
        <v>2988</v>
      </c>
      <c r="C21" t="s">
        <v>2987</v>
      </c>
      <c r="D21" s="2">
        <v>364</v>
      </c>
      <c r="E21" s="2">
        <v>0.8</v>
      </c>
      <c r="F21" s="3" t="str">
        <f>HYPERLINK("http://www.sah.co.rs/ad-16-crvena-24v.html?___store=serbian"," Pogledajte proizvod na sajtu -&gt;")</f>
        <v> Pogledajte proizvod na sajtu -&gt;</v>
      </c>
    </row>
    <row r="22" spans="1:6" ht="12.75">
      <c r="A22" s="2">
        <v>21</v>
      </c>
      <c r="B22" t="s">
        <v>2989</v>
      </c>
      <c r="C22" t="s">
        <v>2990</v>
      </c>
      <c r="D22" s="2">
        <v>157</v>
      </c>
      <c r="E22" s="2">
        <v>2.2</v>
      </c>
      <c r="F22" s="3" t="str">
        <f>HYPERLINK("http://www.sah.co.rs/ad-c16-crvena-24v.html?___store=serbian"," Pogledajte proizvod na sajtu -&gt;")</f>
        <v> Pogledajte proizvod na sajtu -&gt;</v>
      </c>
    </row>
    <row r="23" spans="1:6" ht="12.75">
      <c r="A23" s="2">
        <v>22</v>
      </c>
      <c r="B23" t="s">
        <v>2991</v>
      </c>
      <c r="C23" t="s">
        <v>2992</v>
      </c>
      <c r="D23" s="2">
        <v>323</v>
      </c>
      <c r="E23" s="2">
        <v>0.6</v>
      </c>
      <c r="F23" s="3" t="str">
        <f>HYPERLINK("http://www.sah.co.rs/ad-22ds-crvena-12v.html?___store=serbian"," Pogledajte proizvod na sajtu -&gt;")</f>
        <v> Pogledajte proizvod na sajtu -&gt;</v>
      </c>
    </row>
    <row r="24" spans="1:6" ht="12.75">
      <c r="A24" s="2">
        <v>23</v>
      </c>
      <c r="B24" t="s">
        <v>2993</v>
      </c>
      <c r="C24" t="s">
        <v>2994</v>
      </c>
      <c r="D24" s="2">
        <v>1041</v>
      </c>
      <c r="E24" s="2">
        <v>0.7</v>
      </c>
      <c r="F24" s="3" t="str">
        <f>HYPERLINK("http://www.sah.co.rs/qw-22-crvena-220v.html?___store=serbian"," Pogledajte proizvod na sajtu -&gt;")</f>
        <v> Pogledajte proizvod na sajtu -&gt;</v>
      </c>
    </row>
    <row r="25" spans="1:6" ht="12.75">
      <c r="A25" s="2">
        <v>24</v>
      </c>
      <c r="B25" t="s">
        <v>2995</v>
      </c>
      <c r="C25" t="s">
        <v>2994</v>
      </c>
      <c r="D25" s="2">
        <v>1537</v>
      </c>
      <c r="E25" s="2">
        <v>0.8</v>
      </c>
      <c r="F25" s="3" t="str">
        <f aca="true" t="shared" si="1" ref="F25:F26">HYPERLINK("http://www.sah.co.rs/ad-22ds-crvena-220v.html?___store=serbian"," Pogledajte proizvod na sajtu -&gt;")</f>
        <v> Pogledajte proizvod na sajtu -&gt;</v>
      </c>
    </row>
    <row r="26" spans="1:6" ht="12.75">
      <c r="A26" s="2">
        <v>25</v>
      </c>
      <c r="B26" t="s">
        <v>2995</v>
      </c>
      <c r="C26" t="s">
        <v>2994</v>
      </c>
      <c r="D26" s="2">
        <v>448</v>
      </c>
      <c r="E26" s="2">
        <v>0.6</v>
      </c>
      <c r="F26" s="3" t="str">
        <f t="shared" si="1"/>
        <v> Pogledajte proizvod na sajtu -&gt;</v>
      </c>
    </row>
    <row r="27" spans="1:6" ht="12.75">
      <c r="A27" s="2">
        <v>26</v>
      </c>
      <c r="B27" t="s">
        <v>2996</v>
      </c>
      <c r="C27" t="s">
        <v>2997</v>
      </c>
      <c r="D27" s="2">
        <v>461</v>
      </c>
      <c r="E27" s="2">
        <v>0.6</v>
      </c>
      <c r="F27" s="3" t="str">
        <f aca="true" t="shared" si="2" ref="F27:F28">HYPERLINK("http://www.sah.co.rs/ad-22ds-crvena-24v.html?___store=serbian"," Pogledajte proizvod na sajtu -&gt;")</f>
        <v> Pogledajte proizvod na sajtu -&gt;</v>
      </c>
    </row>
    <row r="28" spans="1:6" ht="12.75">
      <c r="A28" s="2">
        <v>27</v>
      </c>
      <c r="B28" t="s">
        <v>2996</v>
      </c>
      <c r="C28" t="s">
        <v>2997</v>
      </c>
      <c r="D28" s="2">
        <v>138</v>
      </c>
      <c r="E28" s="2">
        <v>0.8</v>
      </c>
      <c r="F28" s="3" t="str">
        <f t="shared" si="2"/>
        <v> Pogledajte proizvod na sajtu -&gt;</v>
      </c>
    </row>
    <row r="29" spans="1:6" ht="12.75">
      <c r="A29" s="2">
        <v>28</v>
      </c>
      <c r="B29" t="s">
        <v>2998</v>
      </c>
      <c r="C29" t="s">
        <v>2997</v>
      </c>
      <c r="D29" s="2">
        <v>778</v>
      </c>
      <c r="E29" s="2">
        <v>0.7</v>
      </c>
      <c r="F29" s="3" t="str">
        <f>HYPERLINK("http://www.sah.co.rs/qw-22-crvena-24v.html?___store=serbian"," Pogledajte proizvod na sajtu -&gt;")</f>
        <v> Pogledajte proizvod na sajtu -&gt;</v>
      </c>
    </row>
    <row r="30" spans="1:6" ht="12.75">
      <c r="A30" s="2">
        <v>29</v>
      </c>
      <c r="B30" t="s">
        <v>2999</v>
      </c>
      <c r="C30" t="s">
        <v>3000</v>
      </c>
      <c r="D30" s="2">
        <v>6</v>
      </c>
      <c r="E30" s="2">
        <v>0.4</v>
      </c>
      <c r="F30" s="3" t="str">
        <f>HYPERLINK("http://www.sah.co.rs/qw-c8-crvena-220v.html?___store=serbian"," Pogledajte proizvod na sajtu -&gt;")</f>
        <v> Pogledajte proizvod na sajtu -&gt;</v>
      </c>
    </row>
    <row r="31" spans="1:6" ht="12.75">
      <c r="A31" s="2">
        <v>30</v>
      </c>
      <c r="B31" t="s">
        <v>3001</v>
      </c>
      <c r="C31" t="s">
        <v>3000</v>
      </c>
      <c r="D31" s="2">
        <v>426</v>
      </c>
      <c r="E31" s="2">
        <v>0.7</v>
      </c>
      <c r="F31" s="3" t="str">
        <f>HYPERLINK("http://www.sah.co.rs/ad-c8-crvena-220v.html?___store=serbian"," Pogledajte proizvod na sajtu -&gt;")</f>
        <v> Pogledajte proizvod na sajtu -&gt;</v>
      </c>
    </row>
    <row r="32" spans="1:6" ht="12.75">
      <c r="A32" s="2">
        <v>31</v>
      </c>
      <c r="B32" t="s">
        <v>3002</v>
      </c>
      <c r="C32" t="s">
        <v>3003</v>
      </c>
      <c r="D32" s="2">
        <v>184</v>
      </c>
      <c r="E32" s="2">
        <v>0.7</v>
      </c>
      <c r="F32" s="3" t="str">
        <f>HYPERLINK("http://www.sah.co.rs/ad-c8-crvena-24v.html?___store=serbian"," Pogledajte proizvod na sajtu -&gt;")</f>
        <v> Pogledajte proizvod na sajtu -&gt;</v>
      </c>
    </row>
    <row r="33" spans="1:6" ht="12.75">
      <c r="A33" s="2">
        <v>32</v>
      </c>
      <c r="B33" t="s">
        <v>3004</v>
      </c>
      <c r="C33" t="s">
        <v>3005</v>
      </c>
      <c r="D33" s="2">
        <v>196</v>
      </c>
      <c r="E33" s="2">
        <v>2</v>
      </c>
      <c r="F33" s="3" t="str">
        <f>HYPERLINK("http://www.sah.co.rs/ad-22w-g-indikator-dve-pozicije-24v.html?___store=serbian"," Pogledajte proizvod na sajtu -&gt;")</f>
        <v> Pogledajte proizvod na sajtu -&gt;</v>
      </c>
    </row>
    <row r="34" spans="1:6" ht="12.75">
      <c r="A34" s="2">
        <v>33</v>
      </c>
      <c r="B34" t="s">
        <v>3006</v>
      </c>
      <c r="C34" t="s">
        <v>3007</v>
      </c>
      <c r="D34" s="2">
        <v>80</v>
      </c>
      <c r="E34" s="2">
        <v>2.5</v>
      </c>
      <c r="F34" s="3" t="str">
        <f>HYPERLINK("http://www.sah.co.rs/ad-22w-d-indikator-kontakta-24v.html?___store=serbian"," Pogledajte proizvod na sajtu -&gt;")</f>
        <v> Pogledajte proizvod na sajtu -&gt;</v>
      </c>
    </row>
    <row r="35" spans="1:6" ht="12.75">
      <c r="A35" s="2">
        <v>34</v>
      </c>
      <c r="B35" t="s">
        <v>3008</v>
      </c>
      <c r="C35" t="s">
        <v>3009</v>
      </c>
      <c r="D35" s="2">
        <v>90</v>
      </c>
      <c r="E35" s="2">
        <v>2</v>
      </c>
      <c r="F35" s="3" t="str">
        <f>HYPERLINK("http://www.sah.co.rs/ad-22w-n-indikator-uzemljenja-24v.html?___store=serbian"," Pogledajte proizvod na sajtu -&gt;")</f>
        <v> Pogledajte proizvod na sajtu -&gt;</v>
      </c>
    </row>
    <row r="36" spans="1:6" ht="12.75">
      <c r="A36" s="2">
        <v>35</v>
      </c>
      <c r="B36" t="s">
        <v>3010</v>
      </c>
      <c r="C36" t="s">
        <v>3011</v>
      </c>
      <c r="D36" s="2">
        <v>471</v>
      </c>
      <c r="E36" s="2">
        <v>0.6</v>
      </c>
      <c r="F36" s="3" t="str">
        <f>HYPERLINK("http://www.sah.co.rs/ad-16-plava-12v.html?___store=serbian"," Pogledajte proizvod na sajtu -&gt;")</f>
        <v> Pogledajte proizvod na sajtu -&gt;</v>
      </c>
    </row>
    <row r="37" spans="1:6" ht="12.75">
      <c r="A37" s="2">
        <v>36</v>
      </c>
      <c r="B37" t="s">
        <v>3012</v>
      </c>
      <c r="C37" t="s">
        <v>3013</v>
      </c>
      <c r="D37" s="2">
        <v>87</v>
      </c>
      <c r="E37" s="2">
        <v>0.9</v>
      </c>
      <c r="F37" s="3" t="str">
        <f>HYPERLINK("http://www.sah.co.rs/ad-16-plava-220v.html?___store=serbian"," Pogledajte proizvod na sajtu -&gt;")</f>
        <v> Pogledajte proizvod na sajtu -&gt;</v>
      </c>
    </row>
    <row r="38" spans="1:6" ht="12.75">
      <c r="A38" s="2">
        <v>37</v>
      </c>
      <c r="B38" t="s">
        <v>3014</v>
      </c>
      <c r="C38" t="s">
        <v>3013</v>
      </c>
      <c r="D38" s="2">
        <v>405</v>
      </c>
      <c r="E38" s="2">
        <v>0.7</v>
      </c>
      <c r="F38" s="3" t="str">
        <f>HYPERLINK("http://www.sah.co.rs/qw-16-plava-220v.html?___store=serbian"," Pogledajte proizvod na sajtu -&gt;")</f>
        <v> Pogledajte proizvod na sajtu -&gt;</v>
      </c>
    </row>
    <row r="39" spans="1:6" ht="12.75">
      <c r="A39" s="2">
        <v>38</v>
      </c>
      <c r="B39" t="s">
        <v>3015</v>
      </c>
      <c r="C39" t="s">
        <v>3016</v>
      </c>
      <c r="D39" s="2">
        <v>45</v>
      </c>
      <c r="E39" s="2">
        <v>0.9</v>
      </c>
      <c r="F39" s="3" t="str">
        <f>HYPERLINK("http://www.sah.co.rs/ad-16-plava-24v.html?___store=serbian"," Pogledajte proizvod na sajtu -&gt;")</f>
        <v> Pogledajte proizvod na sajtu -&gt;</v>
      </c>
    </row>
    <row r="40" spans="1:6" ht="12.75">
      <c r="A40" s="2">
        <v>39</v>
      </c>
      <c r="B40" t="s">
        <v>3017</v>
      </c>
      <c r="C40" t="s">
        <v>3016</v>
      </c>
      <c r="D40" s="2">
        <v>288</v>
      </c>
      <c r="E40" s="2">
        <v>0.65</v>
      </c>
      <c r="F40" s="3" t="str">
        <f>HYPERLINK("http://www.sah.co.rs/qw-16-plava-24v.html?___store=serbian"," Pogledajte proizvod na sajtu -&gt;")</f>
        <v> Pogledajte proizvod na sajtu -&gt;</v>
      </c>
    </row>
    <row r="41" spans="1:6" ht="12.75">
      <c r="A41" s="2">
        <v>40</v>
      </c>
      <c r="B41" t="s">
        <v>3018</v>
      </c>
      <c r="C41" t="s">
        <v>3019</v>
      </c>
      <c r="D41" s="2">
        <v>460</v>
      </c>
      <c r="E41" s="2">
        <v>0.6</v>
      </c>
      <c r="F41" s="3" t="str">
        <f>HYPERLINK("http://www.sah.co.rs/ad-22ds-plava-12v.html?___store=serbian"," Pogledajte proizvod na sajtu -&gt;")</f>
        <v> Pogledajte proizvod na sajtu -&gt;</v>
      </c>
    </row>
    <row r="42" spans="1:6" ht="12.75">
      <c r="A42" s="2">
        <v>41</v>
      </c>
      <c r="B42" t="s">
        <v>3020</v>
      </c>
      <c r="C42" t="s">
        <v>3021</v>
      </c>
      <c r="D42" s="2">
        <v>286</v>
      </c>
      <c r="E42" s="2">
        <v>0.7</v>
      </c>
      <c r="F42" s="3" t="str">
        <f>HYPERLINK("http://www.sah.co.rs/qw-22-plava-220v.html?___store=serbian"," Pogledajte proizvod na sajtu -&gt;")</f>
        <v> Pogledajte proizvod na sajtu -&gt;</v>
      </c>
    </row>
    <row r="43" spans="1:6" ht="12.75">
      <c r="A43" s="2">
        <v>42</v>
      </c>
      <c r="B43" t="s">
        <v>3022</v>
      </c>
      <c r="C43" t="s">
        <v>3021</v>
      </c>
      <c r="D43" s="2">
        <v>98</v>
      </c>
      <c r="E43" s="2">
        <v>0.9</v>
      </c>
      <c r="F43" s="3" t="str">
        <f aca="true" t="shared" si="3" ref="F43:F44">HYPERLINK("http://www.sah.co.rs/ad-22ds-plava-220v.html?___store=serbian"," Pogledajte proizvod na sajtu -&gt;")</f>
        <v> Pogledajte proizvod na sajtu -&gt;</v>
      </c>
    </row>
    <row r="44" spans="1:6" ht="12.75">
      <c r="A44" s="2">
        <v>43</v>
      </c>
      <c r="B44" t="s">
        <v>3022</v>
      </c>
      <c r="C44" t="s">
        <v>3021</v>
      </c>
      <c r="D44" s="2">
        <v>476</v>
      </c>
      <c r="E44" s="2">
        <v>0.6</v>
      </c>
      <c r="F44" s="3" t="str">
        <f t="shared" si="3"/>
        <v> Pogledajte proizvod na sajtu -&gt;</v>
      </c>
    </row>
    <row r="45" spans="1:6" ht="12.75">
      <c r="A45" s="2">
        <v>44</v>
      </c>
      <c r="B45" t="s">
        <v>3023</v>
      </c>
      <c r="C45" t="s">
        <v>3024</v>
      </c>
      <c r="D45" s="2">
        <v>190</v>
      </c>
      <c r="E45" s="2">
        <v>0.7</v>
      </c>
      <c r="F45" s="3" t="str">
        <f>HYPERLINK("http://www.sah.co.rs/qw-22-plava-24v.html?___store=serbian"," Pogledajte proizvod na sajtu -&gt;")</f>
        <v> Pogledajte proizvod na sajtu -&gt;</v>
      </c>
    </row>
    <row r="46" spans="1:6" ht="12.75">
      <c r="A46" s="2">
        <v>45</v>
      </c>
      <c r="B46" t="s">
        <v>3025</v>
      </c>
      <c r="C46" t="s">
        <v>3024</v>
      </c>
      <c r="D46" s="2">
        <v>0</v>
      </c>
      <c r="E46" s="2">
        <v>0.6</v>
      </c>
      <c r="F46" s="3" t="str">
        <f aca="true" t="shared" si="4" ref="F46:F47">HYPERLINK("http://www.sah.co.rs/ad-22ds-plava-24v.html?___store=serbian"," Pogledajte proizvod na sajtu -&gt;")</f>
        <v> Pogledajte proizvod na sajtu -&gt;</v>
      </c>
    </row>
    <row r="47" spans="1:6" ht="12.75">
      <c r="A47" s="2">
        <v>46</v>
      </c>
      <c r="B47" t="s">
        <v>3025</v>
      </c>
      <c r="C47" t="s">
        <v>3024</v>
      </c>
      <c r="D47" s="2">
        <v>128</v>
      </c>
      <c r="E47" s="2">
        <v>0.9</v>
      </c>
      <c r="F47" s="3" t="str">
        <f t="shared" si="4"/>
        <v> Pogledajte proizvod na sajtu -&gt;</v>
      </c>
    </row>
    <row r="48" spans="1:6" ht="12.75">
      <c r="A48" s="2">
        <v>47</v>
      </c>
      <c r="B48" t="s">
        <v>3026</v>
      </c>
      <c r="C48" t="s">
        <v>3027</v>
      </c>
      <c r="D48" s="2">
        <v>88</v>
      </c>
      <c r="E48" s="2">
        <v>0.4</v>
      </c>
      <c r="F48" s="3" t="str">
        <f>HYPERLINK("http://www.sah.co.rs/qw-c8-plava-220v.html?___store=serbian"," Pogledajte proizvod na sajtu -&gt;")</f>
        <v> Pogledajte proizvod na sajtu -&gt;</v>
      </c>
    </row>
    <row r="49" spans="1:6" ht="12.75">
      <c r="A49" s="2">
        <v>48</v>
      </c>
      <c r="B49" t="s">
        <v>3028</v>
      </c>
      <c r="C49" t="s">
        <v>3027</v>
      </c>
      <c r="D49" s="2">
        <v>139</v>
      </c>
      <c r="E49" s="2">
        <v>0.8</v>
      </c>
      <c r="F49" s="3" t="str">
        <f>HYPERLINK("http://www.sah.co.rs/ad-c8-plava-220v.html?___store=serbian"," Pogledajte proizvod na sajtu -&gt;")</f>
        <v> Pogledajte proizvod na sajtu -&gt;</v>
      </c>
    </row>
    <row r="50" spans="1:6" ht="12.75">
      <c r="A50" s="2">
        <v>49</v>
      </c>
      <c r="B50" t="s">
        <v>3029</v>
      </c>
      <c r="C50" t="s">
        <v>3030</v>
      </c>
      <c r="D50" s="2">
        <v>191</v>
      </c>
      <c r="E50" s="2">
        <v>0.8</v>
      </c>
      <c r="F50" s="3" t="str">
        <f>HYPERLINK("http://www.sah.co.rs/ad-c8-plava-24v.html?___store=serbian"," Pogledajte proizvod na sajtu -&gt;")</f>
        <v> Pogledajte proizvod na sajtu -&gt;</v>
      </c>
    </row>
    <row r="51" spans="1:6" ht="12.75">
      <c r="A51" s="2">
        <v>50</v>
      </c>
      <c r="B51" t="s">
        <v>3031</v>
      </c>
      <c r="C51" t="s">
        <v>3032</v>
      </c>
      <c r="D51" s="2">
        <v>400</v>
      </c>
      <c r="E51" s="2">
        <v>0.6</v>
      </c>
      <c r="F51" s="3" t="str">
        <f>HYPERLINK("http://www.sah.co.rs/ad-16-zelena-12v.html?___store=serbian"," Pogledajte proizvod na sajtu -&gt;")</f>
        <v> Pogledajte proizvod na sajtu -&gt;</v>
      </c>
    </row>
    <row r="52" spans="1:6" ht="12.75">
      <c r="A52" s="2">
        <v>51</v>
      </c>
      <c r="B52" t="s">
        <v>3033</v>
      </c>
      <c r="C52" t="s">
        <v>3034</v>
      </c>
      <c r="D52" s="2">
        <v>0</v>
      </c>
      <c r="E52" s="2">
        <v>0.65</v>
      </c>
      <c r="F52" s="3" t="str">
        <f>HYPERLINK("http://www.sah.co.rs/qw-16-zelena-220v.html?___store=serbian"," Pogledajte proizvod na sajtu -&gt;")</f>
        <v> Pogledajte proizvod na sajtu -&gt;</v>
      </c>
    </row>
    <row r="53" spans="1:6" ht="12.75">
      <c r="A53" s="2">
        <v>52</v>
      </c>
      <c r="B53" t="s">
        <v>3035</v>
      </c>
      <c r="C53" t="s">
        <v>3034</v>
      </c>
      <c r="D53" s="2">
        <v>463</v>
      </c>
      <c r="E53" s="2">
        <v>0.8</v>
      </c>
      <c r="F53" s="3" t="str">
        <f>HYPERLINK("http://www.sah.co.rs/ad-16-zelena-220v.html?___store=serbian"," Pogledajte proizvod na sajtu -&gt;")</f>
        <v> Pogledajte proizvod na sajtu -&gt;</v>
      </c>
    </row>
    <row r="54" spans="1:6" ht="12.75">
      <c r="A54" s="2">
        <v>53</v>
      </c>
      <c r="B54" t="s">
        <v>3036</v>
      </c>
      <c r="C54" t="s">
        <v>3037</v>
      </c>
      <c r="D54" s="2">
        <v>479</v>
      </c>
      <c r="E54" s="2">
        <v>0.6</v>
      </c>
      <c r="F54" s="3" t="str">
        <f>HYPERLINK("http://www.sah.co.rs/ad-16-zelena-24v.html?___store=serbian"," Pogledajte proizvod na sajtu -&gt;")</f>
        <v> Pogledajte proizvod na sajtu -&gt;</v>
      </c>
    </row>
    <row r="55" spans="1:6" ht="12.75">
      <c r="A55" s="2">
        <v>54</v>
      </c>
      <c r="B55" t="s">
        <v>3038</v>
      </c>
      <c r="C55" t="s">
        <v>3037</v>
      </c>
      <c r="D55" s="2">
        <v>470</v>
      </c>
      <c r="E55" s="2">
        <v>0.65</v>
      </c>
      <c r="F55" s="3" t="str">
        <f>HYPERLINK("http://www.sah.co.rs/qw-16-zelena-24v.html?___store=serbian"," Pogledajte proizvod na sajtu -&gt;")</f>
        <v> Pogledajte proizvod na sajtu -&gt;</v>
      </c>
    </row>
    <row r="56" spans="1:6" ht="12.75">
      <c r="A56" s="2">
        <v>55</v>
      </c>
      <c r="B56" t="s">
        <v>3036</v>
      </c>
      <c r="C56" t="s">
        <v>3037</v>
      </c>
      <c r="D56" s="2">
        <v>429</v>
      </c>
      <c r="E56" s="2">
        <v>0.8</v>
      </c>
      <c r="F56" s="3" t="str">
        <f>HYPERLINK("http://www.sah.co.rs/ad-16-zelena-24v.html?___store=serbian"," Pogledajte proizvod na sajtu -&gt;")</f>
        <v> Pogledajte proizvod na sajtu -&gt;</v>
      </c>
    </row>
    <row r="57" spans="1:6" ht="12.75">
      <c r="A57" s="2">
        <v>56</v>
      </c>
      <c r="B57" t="s">
        <v>3039</v>
      </c>
      <c r="C57" t="s">
        <v>3040</v>
      </c>
      <c r="D57" s="2">
        <v>153</v>
      </c>
      <c r="E57" s="2">
        <v>2.2</v>
      </c>
      <c r="F57" s="3" t="str">
        <f>HYPERLINK("http://www.sah.co.rs/ad-c16-zelena-24v.html?___store=serbian"," Pogledajte proizvod na sajtu -&gt;")</f>
        <v> Pogledajte proizvod na sajtu -&gt;</v>
      </c>
    </row>
    <row r="58" spans="1:6" ht="12.75">
      <c r="A58" s="2">
        <v>57</v>
      </c>
      <c r="B58" t="s">
        <v>3041</v>
      </c>
      <c r="C58" t="s">
        <v>3042</v>
      </c>
      <c r="D58" s="2">
        <v>341</v>
      </c>
      <c r="E58" s="2">
        <v>0.6</v>
      </c>
      <c r="F58" s="3" t="str">
        <f>HYPERLINK("http://www.sah.co.rs/ad-22ds-zelena-12v.html?___store=serbian"," Pogledajte proizvod na sajtu -&gt;")</f>
        <v> Pogledajte proizvod na sajtu -&gt;</v>
      </c>
    </row>
    <row r="59" spans="1:6" ht="12.75">
      <c r="A59" s="2">
        <v>58</v>
      </c>
      <c r="B59" t="s">
        <v>3043</v>
      </c>
      <c r="C59" t="s">
        <v>3044</v>
      </c>
      <c r="D59" s="2">
        <v>1419</v>
      </c>
      <c r="E59" s="2">
        <v>0.8</v>
      </c>
      <c r="F59" s="3" t="str">
        <f>HYPERLINK("http://www.sah.co.rs/ad-22ds-zelena-220v.html?___store=serbian"," Pogledajte proizvod na sajtu -&gt;")</f>
        <v> Pogledajte proizvod na sajtu -&gt;</v>
      </c>
    </row>
    <row r="60" spans="1:6" ht="12.75">
      <c r="A60" s="2">
        <v>59</v>
      </c>
      <c r="B60" t="s">
        <v>3045</v>
      </c>
      <c r="C60" t="s">
        <v>3046</v>
      </c>
      <c r="D60" s="2">
        <v>547</v>
      </c>
      <c r="E60" s="2">
        <v>0.6</v>
      </c>
      <c r="F60" s="3" t="str">
        <f>HYPERLINK("http://www.sah.co.rs/ad-22ds-zelena-24v.html?___store=serbian"," Pogledajte proizvod na sajtu -&gt;")</f>
        <v> Pogledajte proizvod na sajtu -&gt;</v>
      </c>
    </row>
    <row r="61" spans="1:6" ht="12.75">
      <c r="A61" s="2">
        <v>60</v>
      </c>
      <c r="B61" t="s">
        <v>3047</v>
      </c>
      <c r="C61" t="s">
        <v>3046</v>
      </c>
      <c r="D61" s="2">
        <v>495</v>
      </c>
      <c r="E61" s="2">
        <v>0.7</v>
      </c>
      <c r="F61" s="3" t="str">
        <f>HYPERLINK("http://www.sah.co.rs/qw-22-zelena-24v.html?___store=serbian"," Pogledajte proizvod na sajtu -&gt;")</f>
        <v> Pogledajte proizvod na sajtu -&gt;</v>
      </c>
    </row>
    <row r="62" spans="1:6" ht="12.75">
      <c r="A62" s="2">
        <v>61</v>
      </c>
      <c r="B62" t="s">
        <v>3045</v>
      </c>
      <c r="C62" t="s">
        <v>3046</v>
      </c>
      <c r="D62" s="2">
        <v>116</v>
      </c>
      <c r="E62" s="2">
        <v>0.8</v>
      </c>
      <c r="F62" s="3" t="str">
        <f>HYPERLINK("http://www.sah.co.rs/ad-22ds-zelena-24v.html?___store=serbian"," Pogledajte proizvod na sajtu -&gt;")</f>
        <v> Pogledajte proizvod na sajtu -&gt;</v>
      </c>
    </row>
    <row r="63" spans="1:6" ht="12.75">
      <c r="A63" s="2">
        <v>62</v>
      </c>
      <c r="B63" t="s">
        <v>3048</v>
      </c>
      <c r="C63" t="s">
        <v>3049</v>
      </c>
      <c r="D63" s="2">
        <v>213</v>
      </c>
      <c r="E63" s="2">
        <v>0.8</v>
      </c>
      <c r="F63" s="3" t="str">
        <f>HYPERLINK("http://www.sah.co.rs/ad-c8-zelena-220v.html?___store=serbian"," Pogledajte proizvod na sajtu -&gt;")</f>
        <v> Pogledajte proizvod na sajtu -&gt;</v>
      </c>
    </row>
    <row r="64" spans="1:6" ht="12.75">
      <c r="A64" s="2">
        <v>63</v>
      </c>
      <c r="B64" t="s">
        <v>3050</v>
      </c>
      <c r="C64" t="s">
        <v>3049</v>
      </c>
      <c r="D64" s="2">
        <v>142</v>
      </c>
      <c r="E64" s="2">
        <v>0.4</v>
      </c>
      <c r="F64" s="3" t="str">
        <f>HYPERLINK("http://www.sah.co.rs/qw-c8-zelena-220v.html?___store=serbian"," Pogledajte proizvod na sajtu -&gt;")</f>
        <v> Pogledajte proizvod na sajtu -&gt;</v>
      </c>
    </row>
    <row r="65" spans="1:6" ht="12.75">
      <c r="A65" s="2">
        <v>64</v>
      </c>
      <c r="B65" t="s">
        <v>3051</v>
      </c>
      <c r="C65" t="s">
        <v>3052</v>
      </c>
      <c r="D65" s="2">
        <v>256</v>
      </c>
      <c r="E65" s="2">
        <v>0.8</v>
      </c>
      <c r="F65" s="3" t="str">
        <f>HYPERLINK("http://www.sah.co.rs/ad-c8-zelena-24v.html?___store=serbian"," Pogledajte proizvod na sajtu -&gt;")</f>
        <v> Pogledajte proizvod na sajtu -&gt;</v>
      </c>
    </row>
    <row r="66" spans="1:6" ht="12.75">
      <c r="A66" s="2">
        <v>65</v>
      </c>
      <c r="B66" t="s">
        <v>3053</v>
      </c>
      <c r="C66" t="s">
        <v>3054</v>
      </c>
      <c r="D66" s="2">
        <v>475</v>
      </c>
      <c r="E66" s="2">
        <v>0.6</v>
      </c>
      <c r="F66" s="3" t="str">
        <f>HYPERLINK("http://www.sah.co.rs/ad-16-zuta-12v.html?___store=serbian"," Pogledajte proizvod na sajtu -&gt;")</f>
        <v> Pogledajte proizvod na sajtu -&gt;</v>
      </c>
    </row>
    <row r="67" spans="1:6" ht="12.75">
      <c r="A67" s="2">
        <v>66</v>
      </c>
      <c r="B67" t="s">
        <v>3055</v>
      </c>
      <c r="C67" t="s">
        <v>3056</v>
      </c>
      <c r="D67" s="2">
        <v>36</v>
      </c>
      <c r="E67" s="2">
        <v>0.8</v>
      </c>
      <c r="F67" s="3" t="str">
        <f>HYPERLINK("http://www.sah.co.rs/ad-16-zuta-220v.html?___store=serbian"," Pogledajte proizvod na sajtu -&gt;")</f>
        <v> Pogledajte proizvod na sajtu -&gt;</v>
      </c>
    </row>
    <row r="68" spans="1:6" ht="12.75">
      <c r="A68" s="2">
        <v>67</v>
      </c>
      <c r="B68" t="s">
        <v>3057</v>
      </c>
      <c r="C68" t="s">
        <v>3056</v>
      </c>
      <c r="D68" s="2">
        <v>557</v>
      </c>
      <c r="E68" s="2">
        <v>0.65</v>
      </c>
      <c r="F68" s="3" t="str">
        <f>HYPERLINK("http://www.sah.co.rs/qw-16-zuta-220v.html?___store=serbian"," Pogledajte proizvod na sajtu -&gt;")</f>
        <v> Pogledajte proizvod na sajtu -&gt;</v>
      </c>
    </row>
    <row r="69" spans="1:6" ht="12.75">
      <c r="A69" s="2">
        <v>68</v>
      </c>
      <c r="B69" t="s">
        <v>3058</v>
      </c>
      <c r="C69" t="s">
        <v>3059</v>
      </c>
      <c r="D69" s="2">
        <v>213</v>
      </c>
      <c r="E69" s="2">
        <v>0.8</v>
      </c>
      <c r="F69" s="3" t="str">
        <f>HYPERLINK("http://www.sah.co.rs/ad-16-zuta-24v.html?___store=serbian"," Pogledajte proizvod na sajtu -&gt;")</f>
        <v> Pogledajte proizvod na sajtu -&gt;</v>
      </c>
    </row>
    <row r="70" spans="1:6" ht="12.75">
      <c r="A70" s="2">
        <v>69</v>
      </c>
      <c r="B70" t="s">
        <v>3060</v>
      </c>
      <c r="C70" t="s">
        <v>3059</v>
      </c>
      <c r="D70" s="2">
        <v>485</v>
      </c>
      <c r="E70" s="2">
        <v>0.65</v>
      </c>
      <c r="F70" s="3" t="str">
        <f>HYPERLINK("http://www.sah.co.rs/qw-16-zuta-24v.html?___store=serbian"," Pogledajte proizvod na sajtu -&gt;")</f>
        <v> Pogledajte proizvod na sajtu -&gt;</v>
      </c>
    </row>
    <row r="71" spans="1:6" ht="12.75">
      <c r="A71" s="2">
        <v>70</v>
      </c>
      <c r="B71" t="s">
        <v>3061</v>
      </c>
      <c r="C71" t="s">
        <v>3062</v>
      </c>
      <c r="D71" s="2">
        <v>366</v>
      </c>
      <c r="E71" s="2">
        <v>0.6</v>
      </c>
      <c r="F71" s="3" t="str">
        <f>HYPERLINK("http://www.sah.co.rs/ad-22ds-zuta-12v.html?___store=serbian"," Pogledajte proizvod na sajtu -&gt;")</f>
        <v> Pogledajte proizvod na sajtu -&gt;</v>
      </c>
    </row>
    <row r="72" spans="1:6" ht="12.75">
      <c r="A72" s="2">
        <v>71</v>
      </c>
      <c r="B72" t="s">
        <v>3063</v>
      </c>
      <c r="C72" t="s">
        <v>3064</v>
      </c>
      <c r="D72" s="2">
        <v>131</v>
      </c>
      <c r="E72" s="2">
        <v>0.8</v>
      </c>
      <c r="F72" s="3" t="str">
        <f aca="true" t="shared" si="5" ref="F72:F73">HYPERLINK("http://www.sah.co.rs/ad-22ds-zuta-220v.html?___store=serbian"," Pogledajte proizvod na sajtu -&gt;")</f>
        <v> Pogledajte proizvod na sajtu -&gt;</v>
      </c>
    </row>
    <row r="73" spans="1:6" ht="12.75">
      <c r="A73" s="2">
        <v>72</v>
      </c>
      <c r="B73" t="s">
        <v>3063</v>
      </c>
      <c r="C73" t="s">
        <v>3064</v>
      </c>
      <c r="D73" s="2">
        <v>392</v>
      </c>
      <c r="E73" s="2">
        <v>0.6</v>
      </c>
      <c r="F73" s="3" t="str">
        <f t="shared" si="5"/>
        <v> Pogledajte proizvod na sajtu -&gt;</v>
      </c>
    </row>
    <row r="74" spans="1:6" ht="12.75">
      <c r="A74" s="2">
        <v>73</v>
      </c>
      <c r="B74" t="s">
        <v>3065</v>
      </c>
      <c r="C74" t="s">
        <v>3064</v>
      </c>
      <c r="D74" s="2">
        <v>228</v>
      </c>
      <c r="E74" s="2">
        <v>0.7</v>
      </c>
      <c r="F74" s="3" t="str">
        <f>HYPERLINK("http://www.sah.co.rs/qw-22-zuta-220v.html?___store=serbian"," Pogledajte proizvod na sajtu -&gt;")</f>
        <v> Pogledajte proizvod na sajtu -&gt;</v>
      </c>
    </row>
    <row r="75" spans="1:6" ht="12.75">
      <c r="A75" s="2">
        <v>74</v>
      </c>
      <c r="B75" t="s">
        <v>3066</v>
      </c>
      <c r="C75" t="s">
        <v>3067</v>
      </c>
      <c r="D75" s="2">
        <v>460</v>
      </c>
      <c r="E75" s="2">
        <v>0.6</v>
      </c>
      <c r="F75" s="3" t="str">
        <f aca="true" t="shared" si="6" ref="F75:F76">HYPERLINK("http://www.sah.co.rs/ad-22ds-zuta-24v.html?___store=serbian"," Pogledajte proizvod na sajtu -&gt;")</f>
        <v> Pogledajte proizvod na sajtu -&gt;</v>
      </c>
    </row>
    <row r="76" spans="1:6" ht="12.75">
      <c r="A76" s="2">
        <v>75</v>
      </c>
      <c r="B76" t="s">
        <v>3066</v>
      </c>
      <c r="C76" t="s">
        <v>3067</v>
      </c>
      <c r="D76" s="2">
        <v>32</v>
      </c>
      <c r="E76" s="2">
        <v>0.8</v>
      </c>
      <c r="F76" s="3" t="str">
        <f t="shared" si="6"/>
        <v> Pogledajte proizvod na sajtu -&gt;</v>
      </c>
    </row>
    <row r="77" spans="1:6" ht="12.75">
      <c r="A77" s="2">
        <v>76</v>
      </c>
      <c r="B77" t="s">
        <v>3068</v>
      </c>
      <c r="C77" t="s">
        <v>3067</v>
      </c>
      <c r="D77" s="2">
        <v>910</v>
      </c>
      <c r="E77" s="2">
        <v>0.7</v>
      </c>
      <c r="F77" s="3" t="str">
        <f>HYPERLINK("http://www.sah.co.rs/qw-22-zuta-24v.html?___store=serbian"," Pogledajte proizvod na sajtu -&gt;")</f>
        <v> Pogledajte proizvod na sajtu -&gt;</v>
      </c>
    </row>
    <row r="78" spans="1:6" ht="12.75">
      <c r="A78" s="2">
        <v>77</v>
      </c>
      <c r="B78" t="s">
        <v>3069</v>
      </c>
      <c r="C78" t="s">
        <v>3070</v>
      </c>
      <c r="D78" s="2">
        <v>299</v>
      </c>
      <c r="E78" s="2">
        <v>0.4</v>
      </c>
      <c r="F78" s="3" t="str">
        <f>HYPERLINK("http://www.sah.co.rs/qw-c8-zuta-220v.html?___store=serbian"," Pogledajte proizvod na sajtu -&gt;")</f>
        <v> Pogledajte proizvod na sajtu -&gt;</v>
      </c>
    </row>
    <row r="79" spans="1:6" ht="12.75">
      <c r="A79" s="2">
        <v>78</v>
      </c>
      <c r="B79" t="s">
        <v>3071</v>
      </c>
      <c r="C79" t="s">
        <v>3070</v>
      </c>
      <c r="D79" s="2">
        <v>389</v>
      </c>
      <c r="E79" s="2">
        <v>0.7</v>
      </c>
      <c r="F79" s="3" t="str">
        <f>HYPERLINK("http://www.sah.co.rs/ad-c8-zuta-220v.html?___store=serbian"," Pogledajte proizvod na sajtu -&gt;")</f>
        <v> Pogledajte proizvod na sajtu -&gt;</v>
      </c>
    </row>
    <row r="80" spans="1:6" ht="12.75">
      <c r="A80" s="2">
        <v>79</v>
      </c>
      <c r="B80" t="s">
        <v>3072</v>
      </c>
      <c r="C80" t="s">
        <v>3073</v>
      </c>
      <c r="D80" s="2">
        <v>554</v>
      </c>
      <c r="E80" s="2">
        <v>0.7</v>
      </c>
      <c r="F80" s="3" t="str">
        <f>HYPERLINK("http://www.sah.co.rs/ad-c8-zuta-24v.html?___store=serbian"," Pogledajte proizvod na sajtu -&gt;")</f>
        <v> Pogledajte proizvod na sajtu -&gt;</v>
      </c>
    </row>
    <row r="81" spans="1:6" ht="12.75">
      <c r="A81" s="2">
        <v>80</v>
      </c>
      <c r="B81" t="s">
        <v>3074</v>
      </c>
      <c r="C81" t="s">
        <v>3073</v>
      </c>
      <c r="D81" s="2">
        <v>233</v>
      </c>
      <c r="E81" s="2">
        <v>0.4</v>
      </c>
      <c r="F81" s="3" t="str">
        <f>HYPERLINK("http://www.sah.co.rs/qw-c8-zuta-24v.html?___store=serbian","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7.28125" style="0" customWidth="1"/>
    <col min="3" max="3" width="28.574218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3075</v>
      </c>
      <c r="C2" t="s">
        <v>3076</v>
      </c>
      <c r="D2" s="2">
        <v>91</v>
      </c>
      <c r="E2" s="2">
        <v>4</v>
      </c>
      <c r="F2" s="3" t="str">
        <f>HYPERLINK("http://www.sah.co.rs/ddg-a.html?___store=serbian","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9.7109375" style="0" customWidth="1"/>
    <col min="3" max="3" width="65.71093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3077</v>
      </c>
      <c r="C2" t="s">
        <v>3078</v>
      </c>
      <c r="D2" s="2">
        <v>290</v>
      </c>
      <c r="E2" s="2">
        <v>7</v>
      </c>
      <c r="F2" s="3" t="str">
        <f>HYPERLINK("http://www.sah.co.rs/lc1-k1201-220vac.html?___store=serbian"," Pogledajte proizvod na sajtu -&gt;")</f>
        <v> Pogledajte proizvod na sajtu -&gt;</v>
      </c>
    </row>
    <row r="3" spans="1:6" ht="12.75">
      <c r="A3" s="2">
        <v>2</v>
      </c>
      <c r="B3" t="s">
        <v>3079</v>
      </c>
      <c r="C3" t="s">
        <v>3080</v>
      </c>
      <c r="D3" s="2">
        <v>148</v>
      </c>
      <c r="E3" s="2">
        <v>7</v>
      </c>
      <c r="F3" s="3" t="str">
        <f>HYPERLINK("http://www.sah.co.rs/lc1-k1210-220vac.html?___store=serbian"," Pogledajte proizvod na sajtu -&gt;")</f>
        <v> Pogledajte proizvod na sajtu -&gt;</v>
      </c>
    </row>
    <row r="4" spans="1:6" ht="12.75">
      <c r="A4" s="2">
        <v>3</v>
      </c>
      <c r="B4" t="s">
        <v>3081</v>
      </c>
      <c r="C4" t="s">
        <v>3082</v>
      </c>
      <c r="D4" s="2">
        <v>68</v>
      </c>
      <c r="E4" s="2">
        <v>7</v>
      </c>
      <c r="F4" s="3" t="str">
        <f>HYPERLINK("http://www.sah.co.rs/lc1-k1201-24vac.html?___store=serbian"," Pogledajte proizvod na sajtu -&gt;")</f>
        <v> Pogledajte proizvod na sajtu -&gt;</v>
      </c>
    </row>
    <row r="5" spans="1:6" ht="12.75">
      <c r="A5" s="2">
        <v>4</v>
      </c>
      <c r="B5" t="s">
        <v>3083</v>
      </c>
      <c r="C5" t="s">
        <v>3084</v>
      </c>
      <c r="D5" s="2">
        <v>114</v>
      </c>
      <c r="E5" s="2">
        <v>7</v>
      </c>
      <c r="F5" s="3" t="str">
        <f>HYPERLINK("http://www.sah.co.rs/lc1-k1210-24vac.html?___store=serbian"," Pogledajte proizvod na sajtu -&gt;")</f>
        <v> Pogledajte proizvod na sajtu -&gt;</v>
      </c>
    </row>
    <row r="6" spans="1:6" ht="12.75">
      <c r="A6" s="2">
        <v>5</v>
      </c>
      <c r="B6" t="s">
        <v>3085</v>
      </c>
      <c r="C6" t="s">
        <v>3086</v>
      </c>
      <c r="D6" s="2">
        <v>70</v>
      </c>
      <c r="E6" s="2">
        <v>12</v>
      </c>
      <c r="F6" s="3" t="str">
        <f>HYPERLINK("http://www.sah.co.rs/lc1-k1201-24vdc.html?___store=serbian"," Pogledajte proizvod na sajtu -&gt;")</f>
        <v> Pogledajte proizvod na sajtu -&gt;</v>
      </c>
    </row>
    <row r="7" spans="1:6" ht="12.75">
      <c r="A7" s="2">
        <v>6</v>
      </c>
      <c r="B7" t="s">
        <v>3087</v>
      </c>
      <c r="C7" t="s">
        <v>3088</v>
      </c>
      <c r="D7" s="2">
        <v>117</v>
      </c>
      <c r="E7" s="2">
        <v>12</v>
      </c>
      <c r="F7" s="3" t="str">
        <f>HYPERLINK("http://www.sah.co.rs/lc1-k1210-24vdc.html?___store=serbian"," Pogledajte proizvod na sajtu -&gt;")</f>
        <v> Pogledajte proizvod na sajtu -&gt;</v>
      </c>
    </row>
    <row r="8" spans="1:6" ht="12.75">
      <c r="A8" s="2">
        <v>7</v>
      </c>
      <c r="B8" t="s">
        <v>3089</v>
      </c>
      <c r="C8" t="s">
        <v>3090</v>
      </c>
      <c r="D8" s="2">
        <v>208</v>
      </c>
      <c r="E8" s="2">
        <v>1</v>
      </c>
      <c r="F8" s="3" t="str">
        <f>HYPERLINK("http://www.sah.co.rs/la1-dn11.html?___store=serbian"," Pogledajte proizvod na sajtu -&gt;")</f>
        <v> Pogledajte proizvod na sajtu -&gt;</v>
      </c>
    </row>
    <row r="9" spans="1:6" ht="12.75">
      <c r="A9" s="2">
        <v>8</v>
      </c>
      <c r="B9" t="s">
        <v>3091</v>
      </c>
      <c r="C9" t="s">
        <v>3092</v>
      </c>
      <c r="D9" s="2">
        <v>1084</v>
      </c>
      <c r="E9" s="2">
        <v>1.3</v>
      </c>
      <c r="F9" s="3" t="str">
        <f>HYPERLINK("http://www.sah.co.rs/la1-dn22.html?___store=serbian"," Pogledajte proizvod na sajtu -&gt;")</f>
        <v> Pogledajte proizvod na sajtu -&gt;</v>
      </c>
    </row>
    <row r="10" spans="1:6" ht="12.75">
      <c r="A10" s="2">
        <v>9</v>
      </c>
      <c r="B10" t="s">
        <v>3093</v>
      </c>
      <c r="C10" t="s">
        <v>3094</v>
      </c>
      <c r="D10" s="2">
        <v>160</v>
      </c>
      <c r="E10" s="2">
        <v>1</v>
      </c>
      <c r="F10" s="3" t="str">
        <f>HYPERLINK("http://www.sah.co.rs/la1-dn20.html?___store=serbian"," Pogledajte proizvod na sajtu -&gt;")</f>
        <v> Pogledajte proizvod na sajtu -&gt;</v>
      </c>
    </row>
    <row r="11" spans="1:6" ht="12.75">
      <c r="A11" s="2">
        <v>10</v>
      </c>
      <c r="B11" t="s">
        <v>3095</v>
      </c>
      <c r="C11" t="s">
        <v>3096</v>
      </c>
      <c r="D11" s="2">
        <v>26</v>
      </c>
      <c r="E11" s="2">
        <v>5</v>
      </c>
      <c r="F11" s="3" t="str">
        <f>HYPERLINK("http://www.sah.co.rs/f5-t2.html?___store=serbian"," Pogledajte proizvod na sajtu -&gt;")</f>
        <v> Pogledajte proizvod na sajtu -&gt;</v>
      </c>
    </row>
    <row r="12" spans="1:6" ht="12.75">
      <c r="A12" s="2">
        <v>11</v>
      </c>
      <c r="B12" t="s">
        <v>3097</v>
      </c>
      <c r="C12" t="s">
        <v>3098</v>
      </c>
      <c r="D12" s="2">
        <v>4</v>
      </c>
      <c r="E12" s="2">
        <v>135</v>
      </c>
      <c r="F12" s="3" t="str">
        <f>HYPERLINK("http://www.sah.co.rs/cjx1-3tf-50.html?___store=serbian"," Pogledajte proizvod na sajtu -&gt;")</f>
        <v> Pogledajte proizvod na sajtu -&gt;</v>
      </c>
    </row>
    <row r="13" spans="1:6" ht="12.75">
      <c r="A13" s="2">
        <v>12</v>
      </c>
      <c r="B13" t="s">
        <v>3099</v>
      </c>
      <c r="C13" t="s">
        <v>3100</v>
      </c>
      <c r="D13" s="2">
        <v>1</v>
      </c>
      <c r="E13" s="2">
        <v>5.8</v>
      </c>
      <c r="F13" s="3" t="str">
        <f>HYPERLINK("http://www.sah.co.rs/zac2-11.html?___store=serbian"," Pogledajte proizvod na sajtu -&gt;")</f>
        <v> Pogledajte proizvod na sajtu -&gt;</v>
      </c>
    </row>
    <row r="14" spans="1:6" ht="12.75">
      <c r="A14" s="2">
        <v>13</v>
      </c>
      <c r="B14" t="s">
        <v>3101</v>
      </c>
      <c r="C14" t="s">
        <v>3102</v>
      </c>
      <c r="D14" s="2">
        <v>2</v>
      </c>
      <c r="E14" s="2">
        <v>7</v>
      </c>
      <c r="F14" s="3" t="str">
        <f>HYPERLINK("http://www.sah.co.rs/lc1-dn12-110vac.html?___store=serbian"," Pogledajte proizvod na sajtu -&gt;")</f>
        <v> Pogledajte proizvod na sajtu -&gt;</v>
      </c>
    </row>
    <row r="15" spans="1:6" ht="12.75">
      <c r="A15" s="2">
        <v>14</v>
      </c>
      <c r="B15" t="s">
        <v>3103</v>
      </c>
      <c r="C15" t="s">
        <v>3104</v>
      </c>
      <c r="D15" s="2">
        <v>13</v>
      </c>
      <c r="E15" s="2">
        <v>7</v>
      </c>
      <c r="F15" s="3" t="str">
        <f>HYPERLINK("http://www.sah.co.rs/lc1-dn12-220vac.html?___store=serbian"," Pogledajte proizvod na sajtu -&gt;")</f>
        <v> Pogledajte proizvod na sajtu -&gt;</v>
      </c>
    </row>
    <row r="16" spans="1:6" ht="12.75">
      <c r="A16" s="2">
        <v>15</v>
      </c>
      <c r="B16" t="s">
        <v>3105</v>
      </c>
      <c r="C16" t="s">
        <v>3106</v>
      </c>
      <c r="D16" s="2">
        <v>44</v>
      </c>
      <c r="E16" s="2">
        <v>5</v>
      </c>
      <c r="F16" s="3" t="str">
        <f>HYPERLINK("http://www.sah.co.rs/ckyc1-d1210.html?___store=serbian"," Pogledajte proizvod na sajtu -&gt;")</f>
        <v> Pogledajte proizvod na sajtu -&gt;</v>
      </c>
    </row>
    <row r="17" spans="1:6" ht="12.75">
      <c r="A17" s="2">
        <v>16</v>
      </c>
      <c r="B17" t="s">
        <v>3107</v>
      </c>
      <c r="C17" t="s">
        <v>3108</v>
      </c>
      <c r="D17" s="2">
        <v>0</v>
      </c>
      <c r="E17" s="2">
        <v>7</v>
      </c>
      <c r="F17" s="3" t="str">
        <f>HYPERLINK("http://www.sah.co.rs/lc1-dn12-24vac.html?___store=serbian"," Pogledajte proizvod na sajtu -&gt;")</f>
        <v> Pogledajte proizvod na sajtu -&gt;</v>
      </c>
    </row>
    <row r="18" spans="1:6" ht="12.75">
      <c r="A18" s="2">
        <v>17</v>
      </c>
      <c r="B18" t="s">
        <v>3109</v>
      </c>
      <c r="C18" t="s">
        <v>3110</v>
      </c>
      <c r="D18" s="2">
        <v>11</v>
      </c>
      <c r="E18" s="2">
        <v>7</v>
      </c>
      <c r="F18" s="3" t="str">
        <f>HYPERLINK("http://www.sah.co.rs/lc1-dn12-380vac.html?___store=serbian"," Pogledajte proizvod na sajtu -&gt;")</f>
        <v> Pogledajte proizvod na sajtu -&gt;</v>
      </c>
    </row>
    <row r="19" spans="1:6" ht="12.75">
      <c r="A19" s="2">
        <v>18</v>
      </c>
      <c r="B19" t="s">
        <v>3111</v>
      </c>
      <c r="C19" t="s">
        <v>3112</v>
      </c>
      <c r="D19" s="2">
        <v>2</v>
      </c>
      <c r="E19" s="2">
        <v>150</v>
      </c>
      <c r="F19" s="3" t="str">
        <f>HYPERLINK("http://www.sah.co.rs/cjx1-3tf-51.html?___store=serbian"," Pogledajte proizvod na sajtu -&gt;")</f>
        <v> Pogledajte proizvod na sajtu -&gt;</v>
      </c>
    </row>
    <row r="20" spans="1:6" ht="12.75">
      <c r="A20" s="2">
        <v>19</v>
      </c>
      <c r="B20" t="s">
        <v>3113</v>
      </c>
      <c r="C20" t="s">
        <v>3114</v>
      </c>
      <c r="D20" s="2">
        <v>4</v>
      </c>
      <c r="E20" s="2">
        <v>230</v>
      </c>
      <c r="F20" s="3" t="str">
        <f>HYPERLINK("http://www.sah.co.rs/cjx1-3tf-52.html?___store=serbian"," Pogledajte proizvod na sajtu -&gt;")</f>
        <v> Pogledajte proizvod na sajtu -&gt;</v>
      </c>
    </row>
    <row r="21" spans="1:6" ht="12.75">
      <c r="A21" s="2">
        <v>20</v>
      </c>
      <c r="B21" t="s">
        <v>3115</v>
      </c>
      <c r="C21" t="s">
        <v>3116</v>
      </c>
      <c r="D21" s="2">
        <v>31</v>
      </c>
      <c r="E21" s="2">
        <v>8</v>
      </c>
      <c r="F21" s="3" t="str">
        <f>HYPERLINK("http://www.sah.co.rs/lc1-dn18-110vac.html?___store=serbian"," Pogledajte proizvod na sajtu -&gt;")</f>
        <v> Pogledajte proizvod na sajtu -&gt;</v>
      </c>
    </row>
    <row r="22" spans="1:6" ht="12.75">
      <c r="A22" s="2">
        <v>21</v>
      </c>
      <c r="B22" t="s">
        <v>3117</v>
      </c>
      <c r="C22" t="s">
        <v>3118</v>
      </c>
      <c r="D22" s="2">
        <v>267</v>
      </c>
      <c r="E22" s="2">
        <v>8</v>
      </c>
      <c r="F22" s="3" t="str">
        <f>HYPERLINK("http://www.sah.co.rs/lc1-dn18-220vac.html?___store=serbian"," Pogledajte proizvod na sajtu -&gt;")</f>
        <v> Pogledajte proizvod na sajtu -&gt;</v>
      </c>
    </row>
    <row r="23" spans="1:6" ht="12.75">
      <c r="A23" s="2">
        <v>22</v>
      </c>
      <c r="B23" t="s">
        <v>3119</v>
      </c>
      <c r="C23" t="s">
        <v>3120</v>
      </c>
      <c r="D23" s="2">
        <v>29</v>
      </c>
      <c r="E23" s="2">
        <v>8</v>
      </c>
      <c r="F23" s="3" t="str">
        <f>HYPERLINK("http://www.sah.co.rs/lc1-dn18-24vac.html?___store=serbian"," Pogledajte proizvod na sajtu -&gt;")</f>
        <v> Pogledajte proizvod na sajtu -&gt;</v>
      </c>
    </row>
    <row r="24" spans="1:6" ht="12.75">
      <c r="A24" s="2">
        <v>23</v>
      </c>
      <c r="B24" t="s">
        <v>3121</v>
      </c>
      <c r="C24" t="s">
        <v>3122</v>
      </c>
      <c r="D24" s="2">
        <v>15</v>
      </c>
      <c r="E24" s="2">
        <v>8</v>
      </c>
      <c r="F24" s="3" t="str">
        <f>HYPERLINK("http://www.sah.co.rs/lc1-dn18-380vac.html?___store=serbian"," Pogledajte proizvod na sajtu -&gt;")</f>
        <v> Pogledajte proizvod na sajtu -&gt;</v>
      </c>
    </row>
    <row r="25" spans="1:6" ht="12.75">
      <c r="A25" s="2">
        <v>24</v>
      </c>
      <c r="B25" t="s">
        <v>3123</v>
      </c>
      <c r="C25" t="s">
        <v>3124</v>
      </c>
      <c r="D25" s="2">
        <v>3</v>
      </c>
      <c r="E25" s="2">
        <v>280</v>
      </c>
      <c r="F25" s="3" t="str">
        <f>HYPERLINK("http://www.sah.co.rs/cjx1-3tf-53.html?___store=serbian"," Pogledajte proizvod na sajtu -&gt;")</f>
        <v> Pogledajte proizvod na sajtu -&gt;</v>
      </c>
    </row>
    <row r="26" spans="1:6" ht="12.75">
      <c r="A26" s="2">
        <v>25</v>
      </c>
      <c r="B26" t="s">
        <v>3125</v>
      </c>
      <c r="C26" t="s">
        <v>3126</v>
      </c>
      <c r="D26" s="2">
        <v>49</v>
      </c>
      <c r="E26" s="2">
        <v>8</v>
      </c>
      <c r="F26" s="3" t="str">
        <f>HYPERLINK("http://www.sah.co.rs/esc5-2p-r20-220vac.html?___store=serbian"," Pogledajte proizvod na sajtu -&gt;")</f>
        <v> Pogledajte proizvod na sajtu -&gt;</v>
      </c>
    </row>
    <row r="27" spans="1:6" ht="12.75">
      <c r="A27" s="2">
        <v>26</v>
      </c>
      <c r="B27" t="s">
        <v>3127</v>
      </c>
      <c r="C27" t="s">
        <v>3128</v>
      </c>
      <c r="D27" s="2">
        <v>2</v>
      </c>
      <c r="E27" s="2">
        <v>420</v>
      </c>
      <c r="F27" s="3" t="str">
        <f>HYPERLINK("http://www.sah.co.rs/cjx1-3tf-54.html?___store=serbian"," Pogledajte proizvod na sajtu -&gt;")</f>
        <v> Pogledajte proizvod na sajtu -&gt;</v>
      </c>
    </row>
    <row r="28" spans="1:6" ht="12.75">
      <c r="A28" s="2">
        <v>27</v>
      </c>
      <c r="B28" t="s">
        <v>3129</v>
      </c>
      <c r="C28" t="s">
        <v>3130</v>
      </c>
      <c r="D28" s="2">
        <v>0</v>
      </c>
      <c r="E28" s="2">
        <v>9</v>
      </c>
      <c r="F28" s="3" t="str">
        <f>HYPERLINK("http://www.sah.co.rs/lc1-dn25-110vac.html?___store=serbian"," Pogledajte proizvod na sajtu -&gt;")</f>
        <v> Pogledajte proizvod na sajtu -&gt;</v>
      </c>
    </row>
    <row r="29" spans="1:6" ht="12.75">
      <c r="A29" s="2">
        <v>28</v>
      </c>
      <c r="B29" t="s">
        <v>3131</v>
      </c>
      <c r="C29" t="s">
        <v>3132</v>
      </c>
      <c r="D29" s="2">
        <v>109</v>
      </c>
      <c r="E29" s="2">
        <v>9</v>
      </c>
      <c r="F29" s="3" t="str">
        <f>HYPERLINK("http://www.sah.co.rs/lc1-dn25-220vac.html?___store=serbian"," Pogledajte proizvod na sajtu -&gt;")</f>
        <v> Pogledajte proizvod na sajtu -&gt;</v>
      </c>
    </row>
    <row r="30" spans="1:6" ht="12.75">
      <c r="A30" s="2">
        <v>29</v>
      </c>
      <c r="B30" t="s">
        <v>3133</v>
      </c>
      <c r="C30" t="s">
        <v>3134</v>
      </c>
      <c r="D30" s="2">
        <v>19</v>
      </c>
      <c r="E30" s="2">
        <v>8</v>
      </c>
      <c r="F30" s="3" t="str">
        <f>HYPERLINK("http://www.sah.co.rs/ckyc1-d2510.html?___store=serbian"," Pogledajte proizvod na sajtu -&gt;")</f>
        <v> Pogledajte proizvod na sajtu -&gt;</v>
      </c>
    </row>
    <row r="31" spans="1:6" ht="12.75">
      <c r="A31" s="2">
        <v>30</v>
      </c>
      <c r="B31" t="s">
        <v>3135</v>
      </c>
      <c r="C31" t="s">
        <v>3136</v>
      </c>
      <c r="D31" s="2">
        <v>28</v>
      </c>
      <c r="E31" s="2">
        <v>9</v>
      </c>
      <c r="F31" s="3" t="str">
        <f>HYPERLINK("http://www.sah.co.rs/lc1-dn25-24vac.html?___store=serbian"," Pogledajte proizvod na sajtu -&gt;")</f>
        <v> Pogledajte proizvod na sajtu -&gt;</v>
      </c>
    </row>
    <row r="32" spans="1:6" ht="12.75">
      <c r="A32" s="2">
        <v>31</v>
      </c>
      <c r="B32" t="s">
        <v>3137</v>
      </c>
      <c r="C32" t="s">
        <v>3138</v>
      </c>
      <c r="D32" s="2">
        <v>18</v>
      </c>
      <c r="E32" s="2">
        <v>9</v>
      </c>
      <c r="F32" s="3" t="str">
        <f>HYPERLINK("http://www.sah.co.rs/lc1-dn25-380vac.html?___store=serbian"," Pogledajte proizvod na sajtu -&gt;")</f>
        <v> Pogledajte proizvod na sajtu -&gt;</v>
      </c>
    </row>
    <row r="33" spans="1:6" ht="12.75">
      <c r="A33" s="2">
        <v>32</v>
      </c>
      <c r="B33" t="s">
        <v>3139</v>
      </c>
      <c r="C33" t="s">
        <v>3140</v>
      </c>
      <c r="D33" s="2">
        <v>3</v>
      </c>
      <c r="E33" s="2">
        <v>500</v>
      </c>
      <c r="F33" s="3" t="str">
        <f>HYPERLINK("http://www.sah.co.rs/cjx1-3tf-55.html?___store=serbian"," Pogledajte proizvod na sajtu -&gt;")</f>
        <v> Pogledajte proizvod na sajtu -&gt;</v>
      </c>
    </row>
    <row r="34" spans="1:6" ht="12.75">
      <c r="A34" s="2">
        <v>33</v>
      </c>
      <c r="B34" t="s">
        <v>3141</v>
      </c>
      <c r="C34" t="s">
        <v>3142</v>
      </c>
      <c r="D34" s="2">
        <v>5</v>
      </c>
      <c r="E34" s="2">
        <v>10</v>
      </c>
      <c r="F34" s="3" t="str">
        <f>HYPERLINK("http://www.sah.co.rs/lc1-dn32-110vac.html?___store=serbian"," Pogledajte proizvod na sajtu -&gt;")</f>
        <v> Pogledajte proizvod na sajtu -&gt;</v>
      </c>
    </row>
    <row r="35" spans="1:6" ht="12.75">
      <c r="A35" s="2">
        <v>34</v>
      </c>
      <c r="B35" t="s">
        <v>3143</v>
      </c>
      <c r="C35" t="s">
        <v>3144</v>
      </c>
      <c r="D35" s="2">
        <v>31</v>
      </c>
      <c r="E35" s="2">
        <v>11</v>
      </c>
      <c r="F35" s="3" t="str">
        <f>HYPERLINK("http://www.sah.co.rs/sgmc-32.html?___store=serbian"," Pogledajte proizvod na sajtu -&gt;")</f>
        <v> Pogledajte proizvod na sajtu -&gt;</v>
      </c>
    </row>
    <row r="36" spans="1:6" ht="12.75">
      <c r="A36" s="2">
        <v>35</v>
      </c>
      <c r="B36" t="s">
        <v>3145</v>
      </c>
      <c r="C36" t="s">
        <v>3144</v>
      </c>
      <c r="D36" s="2">
        <v>4</v>
      </c>
      <c r="E36" s="2">
        <v>10</v>
      </c>
      <c r="F36" s="3" t="str">
        <f>HYPERLINK("http://www.sah.co.rs/cjx2-d32.html?___store=serbian"," Pogledajte proizvod na sajtu -&gt;")</f>
        <v> Pogledajte proizvod na sajtu -&gt;</v>
      </c>
    </row>
    <row r="37" spans="1:6" ht="12.75">
      <c r="A37" s="2">
        <v>36</v>
      </c>
      <c r="B37" t="s">
        <v>3146</v>
      </c>
      <c r="C37" t="s">
        <v>3144</v>
      </c>
      <c r="D37" s="2">
        <v>49</v>
      </c>
      <c r="E37" s="2">
        <v>10</v>
      </c>
      <c r="F37" s="3" t="str">
        <f>HYPERLINK("http://www.sah.co.rs/lc1-dn32-220vac.html?___store=serbian"," Pogledajte proizvod na sajtu -&gt;")</f>
        <v> Pogledajte proizvod na sajtu -&gt;</v>
      </c>
    </row>
    <row r="38" spans="1:6" ht="12.75">
      <c r="A38" s="2">
        <v>37</v>
      </c>
      <c r="B38" t="s">
        <v>3147</v>
      </c>
      <c r="C38" t="s">
        <v>3144</v>
      </c>
      <c r="D38" s="2">
        <v>22</v>
      </c>
      <c r="E38" s="2">
        <v>8</v>
      </c>
      <c r="F38" s="3" t="str">
        <f>HYPERLINK("http://www.sah.co.rs/lc1-d32.html?___store=serbian"," Pogledajte proizvod na sajtu -&gt;")</f>
        <v> Pogledajte proizvod na sajtu -&gt;</v>
      </c>
    </row>
    <row r="39" spans="1:6" ht="12.75">
      <c r="A39" s="2">
        <v>38</v>
      </c>
      <c r="B39" t="s">
        <v>3148</v>
      </c>
      <c r="C39" t="s">
        <v>3149</v>
      </c>
      <c r="D39" s="2">
        <v>103</v>
      </c>
      <c r="E39" s="2">
        <v>9</v>
      </c>
      <c r="F39" s="3" t="str">
        <f>HYPERLINK("http://www.sah.co.rs/ckyc1-d3210.html?___store=serbian"," Pogledajte proizvod na sajtu -&gt;")</f>
        <v> Pogledajte proizvod na sajtu -&gt;</v>
      </c>
    </row>
    <row r="40" spans="1:6" ht="12.75">
      <c r="A40" s="2">
        <v>39</v>
      </c>
      <c r="B40" t="s">
        <v>3150</v>
      </c>
      <c r="C40" t="s">
        <v>3151</v>
      </c>
      <c r="D40" s="2">
        <v>15</v>
      </c>
      <c r="E40" s="2">
        <v>10</v>
      </c>
      <c r="F40" s="3" t="str">
        <f>HYPERLINK("http://www.sah.co.rs/lc1-dn32-24vac.html?___store=serbian"," Pogledajte proizvod na sajtu -&gt;")</f>
        <v> Pogledajte proizvod na sajtu -&gt;</v>
      </c>
    </row>
    <row r="41" spans="1:6" ht="12.75">
      <c r="A41" s="2">
        <v>40</v>
      </c>
      <c r="B41" t="s">
        <v>3152</v>
      </c>
      <c r="C41" t="s">
        <v>3153</v>
      </c>
      <c r="D41" s="2">
        <v>18</v>
      </c>
      <c r="E41" s="2">
        <v>10</v>
      </c>
      <c r="F41" s="3" t="str">
        <f>HYPERLINK("http://www.sah.co.rs/lc1-dn32-380vac.html?___store=serbian"," Pogledajte proizvod na sajtu -&gt;")</f>
        <v> Pogledajte proizvod na sajtu -&gt;</v>
      </c>
    </row>
    <row r="42" spans="1:6" ht="12.75">
      <c r="A42" s="2">
        <v>41</v>
      </c>
      <c r="B42" t="s">
        <v>3154</v>
      </c>
      <c r="C42" t="s">
        <v>3155</v>
      </c>
      <c r="D42" s="2">
        <v>21</v>
      </c>
      <c r="E42" s="2">
        <v>15</v>
      </c>
      <c r="F42" s="3" t="str">
        <f>HYPERLINK("http://www.sah.co.rs/zac2-35.html?___store=serbian"," Pogledajte proizvod na sajtu -&gt;")</f>
        <v> Pogledajte proizvod na sajtu -&gt;</v>
      </c>
    </row>
    <row r="43" spans="1:6" ht="12.75">
      <c r="A43" s="2">
        <v>42</v>
      </c>
      <c r="B43" t="s">
        <v>3156</v>
      </c>
      <c r="C43" t="s">
        <v>3157</v>
      </c>
      <c r="D43" s="2">
        <v>3</v>
      </c>
      <c r="E43" s="2">
        <v>700</v>
      </c>
      <c r="F43" s="3" t="str">
        <f>HYPERLINK("http://www.sah.co.rs/cjx1-3tf-56.html?___store=serbian"," Pogledajte proizvod na sajtu -&gt;")</f>
        <v> Pogledajte proizvod na sajtu -&gt;</v>
      </c>
    </row>
    <row r="44" spans="1:6" ht="12.75">
      <c r="A44" s="2">
        <v>43</v>
      </c>
      <c r="B44" t="s">
        <v>3158</v>
      </c>
      <c r="C44" t="s">
        <v>3159</v>
      </c>
      <c r="D44" s="2">
        <v>15</v>
      </c>
      <c r="E44" s="2">
        <v>30</v>
      </c>
      <c r="F44" s="3" t="str">
        <f>HYPERLINK("http://www.sah.co.rs/lc1-dn40-110vac.html?___store=serbian"," Pogledajte proizvod na sajtu -&gt;")</f>
        <v> Pogledajte proizvod na sajtu -&gt;</v>
      </c>
    </row>
    <row r="45" spans="1:6" ht="12.75">
      <c r="A45" s="2">
        <v>44</v>
      </c>
      <c r="B45" t="s">
        <v>3160</v>
      </c>
      <c r="C45" t="s">
        <v>3161</v>
      </c>
      <c r="D45" s="2">
        <v>0</v>
      </c>
      <c r="E45" s="2">
        <v>12</v>
      </c>
      <c r="F45" s="3" t="str">
        <f>HYPERLINK("http://www.sah.co.rs/sgmc-40.html?___store=serbian"," Pogledajte proizvod na sajtu -&gt;")</f>
        <v> Pogledajte proizvod na sajtu -&gt;</v>
      </c>
    </row>
    <row r="46" spans="1:6" ht="12.75">
      <c r="A46" s="2">
        <v>45</v>
      </c>
      <c r="B46" t="s">
        <v>3162</v>
      </c>
      <c r="C46" t="s">
        <v>3161</v>
      </c>
      <c r="D46" s="2">
        <v>19</v>
      </c>
      <c r="E46" s="2">
        <v>30</v>
      </c>
      <c r="F46" s="3" t="str">
        <f>HYPERLINK("http://www.sah.co.rs/lc1-dn40-220vac.html?___store=serbian"," Pogledajte proizvod na sajtu -&gt;")</f>
        <v> Pogledajte proizvod na sajtu -&gt;</v>
      </c>
    </row>
    <row r="47" spans="1:6" ht="12.75">
      <c r="A47" s="2">
        <v>46</v>
      </c>
      <c r="B47" t="s">
        <v>3163</v>
      </c>
      <c r="C47" t="s">
        <v>3161</v>
      </c>
      <c r="D47" s="2">
        <v>33</v>
      </c>
      <c r="E47" s="2">
        <v>18</v>
      </c>
      <c r="F47" s="3" t="str">
        <f>HYPERLINK("http://www.sah.co.rs/lc1-d40.html?___store=serbian"," Pogledajte proizvod na sajtu -&gt;")</f>
        <v> Pogledajte proizvod na sajtu -&gt;</v>
      </c>
    </row>
    <row r="48" spans="1:6" ht="12.75">
      <c r="A48" s="2">
        <v>47</v>
      </c>
      <c r="B48" t="s">
        <v>3164</v>
      </c>
      <c r="C48" t="s">
        <v>3161</v>
      </c>
      <c r="D48" s="2">
        <v>16</v>
      </c>
      <c r="E48" s="2">
        <v>19</v>
      </c>
      <c r="F48" s="3" t="str">
        <f>HYPERLINK("http://www.sah.co.rs/ckyc1-d4011.html?___store=serbian"," Pogledajte proizvod na sajtu -&gt;")</f>
        <v> Pogledajte proizvod na sajtu -&gt;</v>
      </c>
    </row>
    <row r="49" spans="1:6" ht="12.75">
      <c r="A49" s="2">
        <v>48</v>
      </c>
      <c r="B49" t="s">
        <v>3165</v>
      </c>
      <c r="C49" t="s">
        <v>3166</v>
      </c>
      <c r="D49" s="2">
        <v>66</v>
      </c>
      <c r="E49" s="2">
        <v>15</v>
      </c>
      <c r="F49" s="3" t="str">
        <f>HYPERLINK("http://www.sah.co.rs/esc5-4p-r40-220vac.html?___store=serbian"," Pogledajte proizvod na sajtu -&gt;")</f>
        <v> Pogledajte proizvod na sajtu -&gt;</v>
      </c>
    </row>
    <row r="50" spans="1:6" ht="12.75">
      <c r="A50" s="2">
        <v>49</v>
      </c>
      <c r="B50" t="s">
        <v>3167</v>
      </c>
      <c r="C50" t="s">
        <v>3168</v>
      </c>
      <c r="D50" s="2">
        <v>9</v>
      </c>
      <c r="E50" s="2">
        <v>30</v>
      </c>
      <c r="F50" s="3" t="str">
        <f>HYPERLINK("http://www.sah.co.rs/lc1-dn40-24vac.html?___store=serbian"," Pogledajte proizvod na sajtu -&gt;")</f>
        <v> Pogledajte proizvod na sajtu -&gt;</v>
      </c>
    </row>
    <row r="51" spans="1:6" ht="12.75">
      <c r="A51" s="2">
        <v>50</v>
      </c>
      <c r="B51" t="s">
        <v>3169</v>
      </c>
      <c r="C51" t="s">
        <v>3170</v>
      </c>
      <c r="D51" s="2">
        <v>31</v>
      </c>
      <c r="E51" s="2">
        <v>15</v>
      </c>
      <c r="F51" s="3" t="str">
        <f>HYPERLINK("http://www.sah.co.rs/esc5-4p-r40-24vac.html?___store=serbian"," Pogledajte proizvod na sajtu -&gt;")</f>
        <v> Pogledajte proizvod na sajtu -&gt;</v>
      </c>
    </row>
    <row r="52" spans="1:6" ht="12.75">
      <c r="A52" s="2">
        <v>51</v>
      </c>
      <c r="B52" t="s">
        <v>3171</v>
      </c>
      <c r="C52" t="s">
        <v>3172</v>
      </c>
      <c r="D52" s="2">
        <v>5</v>
      </c>
      <c r="E52" s="2">
        <v>30</v>
      </c>
      <c r="F52" s="3" t="str">
        <f>HYPERLINK("http://www.sah.co.rs/lc1-dn40-380vac.html?___store=serbian"," Pogledajte proizvod na sajtu -&gt;")</f>
        <v> Pogledajte proizvod na sajtu -&gt;</v>
      </c>
    </row>
    <row r="53" spans="1:6" ht="12.75">
      <c r="A53" s="2">
        <v>52</v>
      </c>
      <c r="B53" t="s">
        <v>3173</v>
      </c>
      <c r="C53" t="s">
        <v>3174</v>
      </c>
      <c r="D53" s="2">
        <v>1</v>
      </c>
      <c r="E53" s="2">
        <v>20</v>
      </c>
      <c r="F53" s="3" t="str">
        <f>HYPERLINK("http://www.sah.co.rs/sgmc-50.html?___store=serbian"," Pogledajte proizvod na sajtu -&gt;")</f>
        <v> Pogledajte proizvod na sajtu -&gt;</v>
      </c>
    </row>
    <row r="54" spans="1:6" ht="12.75">
      <c r="A54" s="2">
        <v>53</v>
      </c>
      <c r="B54" t="s">
        <v>3175</v>
      </c>
      <c r="C54" t="s">
        <v>3176</v>
      </c>
      <c r="D54" s="2">
        <v>3</v>
      </c>
      <c r="E54" s="2">
        <v>26</v>
      </c>
      <c r="F54" s="3" t="str">
        <f>HYPERLINK("http://www.sah.co.rs/zac3-60.html?___store=serbian"," Pogledajte proizvod na sajtu -&gt;")</f>
        <v> Pogledajte proizvod na sajtu -&gt;</v>
      </c>
    </row>
    <row r="55" spans="1:6" ht="12.75">
      <c r="A55" s="2">
        <v>54</v>
      </c>
      <c r="B55" t="s">
        <v>3177</v>
      </c>
      <c r="C55" t="s">
        <v>3178</v>
      </c>
      <c r="D55" s="2">
        <v>5</v>
      </c>
      <c r="E55" s="2">
        <v>38</v>
      </c>
      <c r="F55" s="3" t="str">
        <f>HYPERLINK("http://www.sah.co.rs/lc1-dn65-110vac.html?___store=serbian"," Pogledajte proizvod na sajtu -&gt;")</f>
        <v> Pogledajte proizvod na sajtu -&gt;</v>
      </c>
    </row>
    <row r="56" spans="1:6" ht="12.75">
      <c r="A56" s="2">
        <v>55</v>
      </c>
      <c r="B56" t="s">
        <v>3179</v>
      </c>
      <c r="C56" t="s">
        <v>3180</v>
      </c>
      <c r="D56" s="2">
        <v>16</v>
      </c>
      <c r="E56" s="2">
        <v>22</v>
      </c>
      <c r="F56" s="3" t="str">
        <f>HYPERLINK("http://www.sah.co.rs/ckyc1-d6511.html?___store=serbian"," Pogledajte proizvod na sajtu -&gt;")</f>
        <v> Pogledajte proizvod na sajtu -&gt;</v>
      </c>
    </row>
    <row r="57" spans="1:6" ht="12.75">
      <c r="A57" s="2">
        <v>56</v>
      </c>
      <c r="B57" t="s">
        <v>3181</v>
      </c>
      <c r="C57" t="s">
        <v>3180</v>
      </c>
      <c r="D57" s="2">
        <v>27</v>
      </c>
      <c r="E57" s="2">
        <v>38</v>
      </c>
      <c r="F57" s="3" t="str">
        <f>HYPERLINK("http://www.sah.co.rs/lc1-dn65-220vac.html?___store=serbian"," Pogledajte proizvod na sajtu -&gt;")</f>
        <v> Pogledajte proizvod na sajtu -&gt;</v>
      </c>
    </row>
    <row r="58" spans="1:6" ht="12.75">
      <c r="A58" s="2">
        <v>57</v>
      </c>
      <c r="B58" t="s">
        <v>3182</v>
      </c>
      <c r="C58" t="s">
        <v>3183</v>
      </c>
      <c r="D58" s="2">
        <v>1</v>
      </c>
      <c r="E58" s="2">
        <v>26</v>
      </c>
      <c r="F58" s="3" t="str">
        <f>HYPERLINK("http://www.sah.co.rs/zac9-65.html?___store=serbian"," Pogledajte proizvod na sajtu -&gt;")</f>
        <v> Pogledajte proizvod na sajtu -&gt;</v>
      </c>
    </row>
    <row r="59" spans="1:6" ht="12.75">
      <c r="A59" s="2">
        <v>58</v>
      </c>
      <c r="B59" t="s">
        <v>3184</v>
      </c>
      <c r="C59" t="s">
        <v>3185</v>
      </c>
      <c r="D59" s="2">
        <v>7</v>
      </c>
      <c r="E59" s="2">
        <v>38</v>
      </c>
      <c r="F59" s="3" t="str">
        <f>HYPERLINK("http://www.sah.co.rs/lc1-dn65-24vac.html?___store=serbian"," Pogledajte proizvod na sajtu -&gt;")</f>
        <v> Pogledajte proizvod na sajtu -&gt;</v>
      </c>
    </row>
    <row r="60" spans="1:6" ht="12.75">
      <c r="A60" s="2">
        <v>59</v>
      </c>
      <c r="B60" t="s">
        <v>3186</v>
      </c>
      <c r="C60" t="s">
        <v>3187</v>
      </c>
      <c r="D60" s="2">
        <v>2</v>
      </c>
      <c r="E60" s="2">
        <v>38</v>
      </c>
      <c r="F60" s="3" t="str">
        <f>HYPERLINK("http://www.sah.co.rs/lc1-dn65-380vac.html?___store=serbian"," Pogledajte proizvod na sajtu -&gt;")</f>
        <v> Pogledajte proizvod na sajtu -&gt;</v>
      </c>
    </row>
    <row r="61" spans="1:6" ht="12.75">
      <c r="A61" s="2">
        <v>60</v>
      </c>
      <c r="B61" t="s">
        <v>3188</v>
      </c>
      <c r="C61" t="s">
        <v>3189</v>
      </c>
      <c r="D61" s="2">
        <v>4</v>
      </c>
      <c r="E61" s="2">
        <v>36</v>
      </c>
      <c r="F61" s="3" t="str">
        <f>HYPERLINK("http://www.sah.co.rs/zac3-80.html?___store=serbian"," Pogledajte proizvod na sajtu -&gt;")</f>
        <v> Pogledajte proizvod na sajtu -&gt;</v>
      </c>
    </row>
    <row r="62" spans="1:6" ht="12.75">
      <c r="A62" s="2">
        <v>61</v>
      </c>
      <c r="B62" t="s">
        <v>3190</v>
      </c>
      <c r="C62" t="s">
        <v>3191</v>
      </c>
      <c r="D62" s="2">
        <v>0</v>
      </c>
      <c r="E62" s="2">
        <v>25</v>
      </c>
      <c r="F62" s="3" t="str">
        <f>HYPERLINK("http://www.sah.co.rs/sgmc-85.html?___store=serbian"," Pogledajte proizvod na sajtu -&gt;")</f>
        <v> Pogledajte proizvod na sajtu -&gt;</v>
      </c>
    </row>
    <row r="63" spans="1:6" ht="12.75">
      <c r="A63" s="2">
        <v>62</v>
      </c>
      <c r="B63" t="s">
        <v>3192</v>
      </c>
      <c r="C63" t="s">
        <v>3193</v>
      </c>
      <c r="D63" s="2">
        <v>12</v>
      </c>
      <c r="E63" s="2">
        <v>32</v>
      </c>
      <c r="F63" s="3" t="str">
        <f>HYPERLINK("http://www.sah.co.rs/zac9-85.html?___store=serbian"," Pogledajte proizvod na sajtu -&gt;")</f>
        <v> Pogledajte proizvod na sajtu -&gt;</v>
      </c>
    </row>
    <row r="64" spans="1:6" ht="12.75">
      <c r="A64" s="2">
        <v>63</v>
      </c>
      <c r="B64" t="s">
        <v>3194</v>
      </c>
      <c r="C64" t="s">
        <v>3195</v>
      </c>
      <c r="D64" s="2">
        <v>8</v>
      </c>
      <c r="E64" s="2">
        <v>52</v>
      </c>
      <c r="F64" s="3" t="str">
        <f>HYPERLINK("http://www.sah.co.rs/lc1-dn95-110vac.html?___store=serbian"," Pogledajte proizvod na sajtu -&gt;")</f>
        <v> Pogledajte proizvod na sajtu -&gt;</v>
      </c>
    </row>
    <row r="65" spans="1:6" ht="12.75">
      <c r="A65" s="2">
        <v>64</v>
      </c>
      <c r="B65" t="s">
        <v>3196</v>
      </c>
      <c r="C65" t="s">
        <v>3197</v>
      </c>
      <c r="D65" s="2">
        <v>29</v>
      </c>
      <c r="E65" s="2">
        <v>28</v>
      </c>
      <c r="F65" s="3" t="str">
        <f>HYPERLINK("http://www.sah.co.rs/ckyc1-d9511.html?___store=serbian"," Pogledajte proizvod na sajtu -&gt;")</f>
        <v> Pogledajte proizvod na sajtu -&gt;</v>
      </c>
    </row>
    <row r="66" spans="1:6" ht="12.75">
      <c r="A66" s="2">
        <v>65</v>
      </c>
      <c r="B66" t="s">
        <v>3198</v>
      </c>
      <c r="C66" t="s">
        <v>3197</v>
      </c>
      <c r="D66" s="2">
        <v>11</v>
      </c>
      <c r="E66" s="2">
        <v>52</v>
      </c>
      <c r="F66" s="3" t="str">
        <f>HYPERLINK("http://www.sah.co.rs/lc1-dn95-220vac.html?___store=serbian"," Pogledajte proizvod na sajtu -&gt;")</f>
        <v> Pogledajte proizvod na sajtu -&gt;</v>
      </c>
    </row>
    <row r="67" spans="1:6" ht="12.75">
      <c r="A67" s="2">
        <v>66</v>
      </c>
      <c r="B67" t="s">
        <v>3199</v>
      </c>
      <c r="C67" t="s">
        <v>3197</v>
      </c>
      <c r="D67" s="2">
        <v>15</v>
      </c>
      <c r="E67" s="2">
        <v>25</v>
      </c>
      <c r="F67" s="3" t="str">
        <f>HYPERLINK("http://www.sah.co.rs/cjx2-d95.html?___store=serbian"," Pogledajte proizvod na sajtu -&gt;")</f>
        <v> Pogledajte proizvod na sajtu -&gt;</v>
      </c>
    </row>
    <row r="68" spans="1:6" ht="12.75">
      <c r="A68" s="2">
        <v>67</v>
      </c>
      <c r="B68" t="s">
        <v>3200</v>
      </c>
      <c r="C68" t="s">
        <v>3197</v>
      </c>
      <c r="D68" s="2">
        <v>9</v>
      </c>
      <c r="E68" s="2">
        <v>28</v>
      </c>
      <c r="F68" s="3" t="str">
        <f>HYPERLINK("http://www.sah.co.rs/lc1-d95.html?___store=serbian"," Pogledajte proizvod na sajtu -&gt;")</f>
        <v> Pogledajte proizvod na sajtu -&gt;</v>
      </c>
    </row>
    <row r="69" spans="1:6" ht="12.75">
      <c r="A69" s="2">
        <v>68</v>
      </c>
      <c r="B69" t="s">
        <v>3201</v>
      </c>
      <c r="C69" t="s">
        <v>3202</v>
      </c>
      <c r="D69" s="2">
        <v>10</v>
      </c>
      <c r="E69" s="2">
        <v>52</v>
      </c>
      <c r="F69" s="3" t="str">
        <f>HYPERLINK("http://www.sah.co.rs/lc1-dn95-24vac.html?___store=serbian"," Pogledajte proizvod na sajtu -&gt;")</f>
        <v> Pogledajte proizvod na sajtu -&gt;</v>
      </c>
    </row>
    <row r="70" spans="1:6" ht="12.75">
      <c r="A70" s="2">
        <v>69</v>
      </c>
      <c r="B70" t="s">
        <v>3203</v>
      </c>
      <c r="C70" t="s">
        <v>3204</v>
      </c>
      <c r="D70" s="2">
        <v>5</v>
      </c>
      <c r="E70" s="2">
        <v>52</v>
      </c>
      <c r="F70" s="3" t="str">
        <f>HYPERLINK("http://www.sah.co.rs/lc1-dn95-380vac.html?___store=serbian","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9.57421875" style="0" customWidth="1"/>
    <col min="3" max="3" width="33.281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3205</v>
      </c>
      <c r="C2" t="s">
        <v>3206</v>
      </c>
      <c r="D2" s="2">
        <v>5</v>
      </c>
      <c r="E2" s="2">
        <v>1500</v>
      </c>
      <c r="F2" s="3" t="str">
        <f>HYPERLINK("http://www.sah.co.rs/hfr-1110.html?___store=serbian"," Pogledajte proizvod na sajtu -&gt;")</f>
        <v> Pogledajte proizvod na sajtu -&gt;</v>
      </c>
    </row>
    <row r="3" spans="1:6" ht="12.75">
      <c r="A3" s="2">
        <v>2</v>
      </c>
      <c r="B3" t="s">
        <v>3207</v>
      </c>
      <c r="C3" t="s">
        <v>3208</v>
      </c>
      <c r="D3" s="2">
        <v>4</v>
      </c>
      <c r="E3" s="2">
        <v>1700</v>
      </c>
      <c r="F3" s="3" t="str">
        <f>HYPERLINK("http://www.sah.co.rs/hfr-1132.html?___store=serbian"," Pogledajte proizvod na sajtu -&gt;")</f>
        <v> Pogledajte proizvod na sajtu -&gt;</v>
      </c>
    </row>
    <row r="4" spans="1:6" ht="12.75">
      <c r="A4" s="2">
        <v>3</v>
      </c>
      <c r="B4" t="s">
        <v>3209</v>
      </c>
      <c r="C4" t="s">
        <v>3210</v>
      </c>
      <c r="D4" s="2">
        <v>1</v>
      </c>
      <c r="E4" s="2">
        <v>340</v>
      </c>
      <c r="F4" s="3" t="str">
        <f>HYPERLINK("http://www.sah.co.rs/hfr-1015.html?___store=serbian"," Pogledajte proizvod na sajtu -&gt;")</f>
        <v> Pogledajte proizvod na sajtu -&gt;</v>
      </c>
    </row>
    <row r="5" spans="1:6" ht="12.75">
      <c r="A5" s="2">
        <v>4</v>
      </c>
      <c r="B5" t="s">
        <v>3211</v>
      </c>
      <c r="C5" t="s">
        <v>3212</v>
      </c>
      <c r="D5" s="2">
        <v>2</v>
      </c>
      <c r="E5" s="2">
        <v>2000</v>
      </c>
      <c r="F5" s="3" t="str">
        <f>HYPERLINK("http://www.sah.co.rs/hfr-1160.html?___store=serbian"," Pogledajte proizvod na sajtu -&gt;")</f>
        <v> Pogledajte proizvod na sajtu -&gt;</v>
      </c>
    </row>
    <row r="6" spans="1:6" ht="12.75">
      <c r="A6" s="2">
        <v>5</v>
      </c>
      <c r="B6" t="s">
        <v>3213</v>
      </c>
      <c r="C6" t="s">
        <v>3214</v>
      </c>
      <c r="D6" s="2">
        <v>0</v>
      </c>
      <c r="E6" s="2">
        <v>380</v>
      </c>
      <c r="F6" s="3" t="str">
        <f>HYPERLINK("http://www.sah.co.rs/hfr-1022.html?___store=serbian"," Pogledajte proizvod na sajtu -&gt;")</f>
        <v> Pogledajte proizvod na sajtu -&gt;</v>
      </c>
    </row>
    <row r="7" spans="1:6" ht="12.75">
      <c r="A7" s="2">
        <v>6</v>
      </c>
      <c r="B7" t="s">
        <v>3215</v>
      </c>
      <c r="C7" t="s">
        <v>3216</v>
      </c>
      <c r="D7" s="2">
        <v>3</v>
      </c>
      <c r="E7" s="2">
        <v>2700</v>
      </c>
      <c r="F7" s="3" t="str">
        <f>HYPERLINK("http://www.sah.co.rs/hfr-1250.html?___store=serbian"," Pogledajte proizvod na sajtu -&gt;")</f>
        <v> Pogledajte proizvod na sajtu -&gt;</v>
      </c>
    </row>
    <row r="8" spans="1:6" ht="12.75">
      <c r="A8" s="2">
        <v>7</v>
      </c>
      <c r="B8" t="s">
        <v>3217</v>
      </c>
      <c r="C8" t="s">
        <v>3218</v>
      </c>
      <c r="D8" s="2">
        <v>1</v>
      </c>
      <c r="E8" s="2">
        <v>450</v>
      </c>
      <c r="F8" s="3" t="str">
        <f>HYPERLINK("http://www.sah.co.rs/hfr-1030.html?___store=serbian"," Pogledajte proizvod na sajtu -&gt;")</f>
        <v> Pogledajte proizvod na sajtu -&gt;</v>
      </c>
    </row>
    <row r="9" spans="1:6" ht="12.75">
      <c r="A9" s="2">
        <v>8</v>
      </c>
      <c r="B9" t="s">
        <v>3219</v>
      </c>
      <c r="C9" t="s">
        <v>3220</v>
      </c>
      <c r="D9" s="2">
        <v>0</v>
      </c>
      <c r="E9" s="2">
        <v>3200</v>
      </c>
      <c r="F9" s="3" t="str">
        <f>HYPERLINK("http://www.sah.co.rs/hfr-1315.html?___store=serbian"," Pogledajte proizvod na sajtu -&gt;")</f>
        <v> Pogledajte proizvod na sajtu -&gt;</v>
      </c>
    </row>
    <row r="10" spans="1:6" ht="12.75">
      <c r="A10" s="2">
        <v>9</v>
      </c>
      <c r="B10" t="s">
        <v>3221</v>
      </c>
      <c r="C10" t="s">
        <v>3222</v>
      </c>
      <c r="D10" s="2">
        <v>4</v>
      </c>
      <c r="E10" s="2">
        <v>520</v>
      </c>
      <c r="F10" s="3" t="str">
        <f>HYPERLINK("http://www.sah.co.rs/hfr-1037.html?___store=serbian"," Pogledajte proizvod na sajtu -&gt;")</f>
        <v> Pogledajte proizvod na sajtu -&gt;</v>
      </c>
    </row>
    <row r="11" spans="1:6" ht="12.75">
      <c r="A11" s="2">
        <v>10</v>
      </c>
      <c r="B11" t="s">
        <v>3223</v>
      </c>
      <c r="C11" t="s">
        <v>3224</v>
      </c>
      <c r="D11" s="2">
        <v>2</v>
      </c>
      <c r="E11" s="2">
        <v>600</v>
      </c>
      <c r="F11" s="3" t="str">
        <f>HYPERLINK("http://www.sah.co.rs/hfr-1045.html?___store=serbian"," Pogledajte proizvod na sajtu -&gt;")</f>
        <v> Pogledajte proizvod na sajtu -&gt;</v>
      </c>
    </row>
    <row r="12" spans="1:6" ht="12.75">
      <c r="A12" s="2">
        <v>11</v>
      </c>
      <c r="B12" t="s">
        <v>3225</v>
      </c>
      <c r="C12" t="s">
        <v>3226</v>
      </c>
      <c r="D12" s="2">
        <v>1</v>
      </c>
      <c r="E12" s="2">
        <v>900</v>
      </c>
      <c r="F12" s="3" t="str">
        <f>HYPERLINK("http://www.sah.co.rs/hfr-1055.html?___store=serbian"," Pogledajte proizvod na sajtu -&gt;")</f>
        <v> Pogledajte proizvod na sajtu -&gt;</v>
      </c>
    </row>
    <row r="13" spans="1:6" ht="12.75">
      <c r="A13" s="2">
        <v>12</v>
      </c>
      <c r="B13" t="s">
        <v>3227</v>
      </c>
      <c r="C13" t="s">
        <v>3228</v>
      </c>
      <c r="D13" s="2">
        <v>4</v>
      </c>
      <c r="E13" s="2">
        <v>1050</v>
      </c>
      <c r="F13" s="3" t="str">
        <f>HYPERLINK("http://www.sah.co.rs/hfr-1075.html?___store=serbian"," Pogledajte proizvod na sajtu -&gt;")</f>
        <v> Pogledajte proizvod na sajtu -&gt;</v>
      </c>
    </row>
    <row r="14" spans="1:6" ht="12.75">
      <c r="A14" s="2">
        <v>13</v>
      </c>
      <c r="B14" t="s">
        <v>3229</v>
      </c>
      <c r="C14" t="s">
        <v>3230</v>
      </c>
      <c r="D14" s="2">
        <v>2</v>
      </c>
      <c r="E14" s="2">
        <v>1250</v>
      </c>
      <c r="F14" s="3" t="str">
        <f>HYPERLINK("http://www.sah.co.rs/hfr-1090.html?___store=serbian","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8.00390625" style="0" customWidth="1"/>
    <col min="3" max="3" width="66.281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3231</v>
      </c>
      <c r="C2" t="s">
        <v>3232</v>
      </c>
      <c r="D2" s="2">
        <v>97</v>
      </c>
      <c r="E2" s="2">
        <v>7.5</v>
      </c>
      <c r="F2" s="3" t="str">
        <f>HYPERLINK("http://www.sah.co.rs/hyg10-10-l25-d20.html?___store=serbian"," Pogledajte proizvod na sajtu -&gt;")</f>
        <v> Pogledajte proizvod na sajtu -&gt;</v>
      </c>
    </row>
    <row r="3" spans="1:6" ht="12.75">
      <c r="A3" s="2">
        <v>2</v>
      </c>
      <c r="B3" t="s">
        <v>3233</v>
      </c>
      <c r="C3" t="s">
        <v>3232</v>
      </c>
      <c r="D3" s="2">
        <v>113</v>
      </c>
      <c r="E3" s="2">
        <v>5</v>
      </c>
      <c r="F3" s="3" t="str">
        <f>HYPERLINK("http://www.sah.co.rs/hbl10-10-l25-d20.html?___store=serbian"," Pogledajte proizvod na sajtu -&gt;")</f>
        <v> Pogledajte proizvod na sajtu -&gt;</v>
      </c>
    </row>
    <row r="4" spans="1:6" ht="12.75">
      <c r="A4" s="2">
        <v>3</v>
      </c>
      <c r="B4" t="s">
        <v>3234</v>
      </c>
      <c r="C4" t="s">
        <v>3235</v>
      </c>
      <c r="D4" s="2">
        <v>68</v>
      </c>
      <c r="E4" s="2">
        <v>7.5</v>
      </c>
      <c r="F4" s="3" t="str">
        <f>HYPERLINK("http://www.sah.co.rs/hyg10-10-l25-d25.html?___store=serbian"," Pogledajte proizvod na sajtu -&gt;")</f>
        <v> Pogledajte proizvod na sajtu -&gt;</v>
      </c>
    </row>
    <row r="5" spans="1:6" ht="12.75">
      <c r="A5" s="2">
        <v>4</v>
      </c>
      <c r="B5" t="s">
        <v>3236</v>
      </c>
      <c r="C5" t="s">
        <v>3237</v>
      </c>
      <c r="D5" s="2">
        <v>209</v>
      </c>
      <c r="E5" s="2">
        <v>8</v>
      </c>
      <c r="F5" s="3" t="str">
        <f>HYPERLINK("http://www.sah.co.rs/tlk5-10-10-l30-d25.html?___store=serbian"," Pogledajte proizvod na sajtu -&gt;")</f>
        <v> Pogledajte proizvod na sajtu -&gt;</v>
      </c>
    </row>
    <row r="6" spans="1:6" ht="12.75">
      <c r="A6" s="2">
        <v>5</v>
      </c>
      <c r="B6" t="s">
        <v>3238</v>
      </c>
      <c r="C6" t="s">
        <v>3237</v>
      </c>
      <c r="D6" s="2">
        <v>61</v>
      </c>
      <c r="E6" s="2">
        <v>7</v>
      </c>
      <c r="F6" s="3" t="str">
        <f>HYPERLINK("http://www.sah.co.rs/hbl10-10-l30-d25.html?___store=serbian"," Pogledajte proizvod na sajtu -&gt;")</f>
        <v> Pogledajte proizvod na sajtu -&gt;</v>
      </c>
    </row>
    <row r="7" spans="1:6" ht="12.75">
      <c r="A7" s="2">
        <v>6</v>
      </c>
      <c r="B7" t="s">
        <v>3239</v>
      </c>
      <c r="C7" t="s">
        <v>3240</v>
      </c>
      <c r="D7" s="2">
        <v>102</v>
      </c>
      <c r="E7" s="2">
        <v>10</v>
      </c>
      <c r="F7" s="3" t="str">
        <f>HYPERLINK("http://www.sah.co.rs/hbl10-10-l40-d32.html?___store=serbian"," Pogledajte proizvod na sajtu -&gt;")</f>
        <v> Pogledajte proizvod na sajtu -&gt;</v>
      </c>
    </row>
    <row r="8" spans="1:6" ht="12.75">
      <c r="A8" s="2">
        <v>7</v>
      </c>
      <c r="B8" t="s">
        <v>3241</v>
      </c>
      <c r="C8" t="s">
        <v>3242</v>
      </c>
      <c r="D8" s="2">
        <v>60</v>
      </c>
      <c r="E8" s="2">
        <v>12</v>
      </c>
      <c r="F8" s="3" t="str">
        <f>HYPERLINK("http://www.sah.co.rs/tlk2-12-12-l34-d25.html?___store=serbian"," Pogledajte proizvod na sajtu -&gt;")</f>
        <v> Pogledajte proizvod na sajtu -&gt;</v>
      </c>
    </row>
    <row r="9" spans="1:6" ht="12.75">
      <c r="A9" s="2">
        <v>8</v>
      </c>
      <c r="B9" t="s">
        <v>3243</v>
      </c>
      <c r="C9" t="s">
        <v>3244</v>
      </c>
      <c r="D9" s="2">
        <v>108</v>
      </c>
      <c r="E9" s="2">
        <v>10</v>
      </c>
      <c r="F9" s="3" t="str">
        <f>HYPERLINK("http://www.sah.co.rs/hbl12-12-l40-d32.html?___store=serbian"," Pogledajte proizvod na sajtu -&gt;")</f>
        <v> Pogledajte proizvod na sajtu -&gt;</v>
      </c>
    </row>
    <row r="10" spans="1:6" ht="12.75">
      <c r="A10" s="2">
        <v>9</v>
      </c>
      <c r="B10" t="s">
        <v>3245</v>
      </c>
      <c r="C10" t="s">
        <v>3246</v>
      </c>
      <c r="D10" s="2">
        <v>88</v>
      </c>
      <c r="E10" s="2">
        <v>13</v>
      </c>
      <c r="F10" s="3" t="str">
        <f>HYPERLINK("http://www.sah.co.rs/tlk2-14-14-l35-d30.html?___store=serbian"," Pogledajte proizvod na sajtu -&gt;")</f>
        <v> Pogledajte proizvod na sajtu -&gt;</v>
      </c>
    </row>
    <row r="11" spans="1:6" ht="12.75">
      <c r="A11" s="2">
        <v>10</v>
      </c>
      <c r="B11" t="s">
        <v>3247</v>
      </c>
      <c r="C11" t="s">
        <v>3248</v>
      </c>
      <c r="D11" s="2">
        <v>60</v>
      </c>
      <c r="E11" s="2">
        <v>10</v>
      </c>
      <c r="F11" s="3" t="str">
        <f>HYPERLINK("http://www.sah.co.rs/hbl14-14-l40-d32.html?___store=serbian"," Pogledajte proizvod na sajtu -&gt;")</f>
        <v> Pogledajte proizvod na sajtu -&gt;</v>
      </c>
    </row>
    <row r="12" spans="1:6" ht="12.75">
      <c r="A12" s="2">
        <v>11</v>
      </c>
      <c r="B12" t="s">
        <v>3249</v>
      </c>
      <c r="C12" t="s">
        <v>3250</v>
      </c>
      <c r="D12" s="2">
        <v>106</v>
      </c>
      <c r="E12" s="2">
        <v>20</v>
      </c>
      <c r="F12" s="3" t="str">
        <f>HYPERLINK("http://www.sah.co.rs/tlk2-19-19-l66-d40.html?___store=serbian"," Pogledajte proizvod na sajtu -&gt;")</f>
        <v> Pogledajte proizvod na sajtu -&gt;</v>
      </c>
    </row>
    <row r="13" spans="1:6" ht="12.75">
      <c r="A13" s="2">
        <v>12</v>
      </c>
      <c r="B13" t="s">
        <v>3251</v>
      </c>
      <c r="C13" t="s">
        <v>3252</v>
      </c>
      <c r="D13" s="2">
        <v>106</v>
      </c>
      <c r="E13" s="2">
        <v>20</v>
      </c>
      <c r="F13" s="3" t="str">
        <f>HYPERLINK("http://www.sah.co.rs/tlk2-22-22-l66-d40.html?___store=serbian"," Pogledajte proizvod na sajtu -&gt;")</f>
        <v> Pogledajte proizvod na sajtu -&gt;</v>
      </c>
    </row>
    <row r="14" spans="1:6" ht="12.75">
      <c r="A14" s="2">
        <v>13</v>
      </c>
      <c r="B14" t="s">
        <v>3253</v>
      </c>
      <c r="C14" t="s">
        <v>3254</v>
      </c>
      <c r="D14" s="2">
        <v>50</v>
      </c>
      <c r="E14" s="2">
        <v>50</v>
      </c>
      <c r="F14" s="3" t="str">
        <f>HYPERLINK("http://www.sah.co.rs/tlk2-35-35-l90-d65.html?___store=serbian"," Pogledajte proizvod na sajtu -&gt;")</f>
        <v> Pogledajte proizvod na sajtu -&gt;</v>
      </c>
    </row>
    <row r="15" spans="1:6" ht="12.75">
      <c r="A15" s="2">
        <v>14</v>
      </c>
      <c r="B15" t="s">
        <v>3255</v>
      </c>
      <c r="C15" t="s">
        <v>3256</v>
      </c>
      <c r="D15" s="2">
        <v>10</v>
      </c>
      <c r="E15" s="2">
        <v>7</v>
      </c>
      <c r="F15" s="3" t="str">
        <f>HYPERLINK("http://www.sah.co.rs/hbl5-5-l30-d20.html?___store=serbian"," Pogledajte proizvod na sajtu -&gt;")</f>
        <v> Pogledajte proizvod na sajtu -&gt;</v>
      </c>
    </row>
    <row r="16" spans="1:6" ht="12.75">
      <c r="A16" s="2">
        <v>15</v>
      </c>
      <c r="B16" t="s">
        <v>3257</v>
      </c>
      <c r="C16" t="s">
        <v>3258</v>
      </c>
      <c r="D16" s="2">
        <v>106</v>
      </c>
      <c r="E16" s="2">
        <v>7.5</v>
      </c>
      <c r="F16" s="3" t="str">
        <f>HYPERLINK("http://www.sah.co.rs/hyg6-35-6-l25-d20.html?___store=serbian"," Pogledajte proizvod na sajtu -&gt;")</f>
        <v> Pogledajte proizvod na sajtu -&gt;</v>
      </c>
    </row>
    <row r="17" spans="1:6" ht="12.75">
      <c r="A17" s="2">
        <v>16</v>
      </c>
      <c r="B17" t="s">
        <v>3259</v>
      </c>
      <c r="C17" t="s">
        <v>3260</v>
      </c>
      <c r="D17" s="2">
        <v>8</v>
      </c>
      <c r="E17" s="2">
        <v>7</v>
      </c>
      <c r="F17" s="3" t="str">
        <f>HYPERLINK("http://www.sah.co.rs/hbl6-10-l25-d25.html?___store=serbian"," Pogledajte proizvod na sajtu -&gt;")</f>
        <v> Pogledajte proizvod na sajtu -&gt;</v>
      </c>
    </row>
    <row r="18" spans="1:6" ht="12.75">
      <c r="A18" s="2">
        <v>17</v>
      </c>
      <c r="B18" t="s">
        <v>3261</v>
      </c>
      <c r="C18" t="s">
        <v>3260</v>
      </c>
      <c r="D18" s="2">
        <v>4</v>
      </c>
      <c r="E18" s="2">
        <v>7</v>
      </c>
      <c r="F18" s="3" t="str">
        <f>HYPERLINK("http://www.sah.co.rs/hyg6-10-l25-d25.html?___store=serbian"," Pogledajte proizvod na sajtu -&gt;")</f>
        <v> Pogledajte proizvod na sajtu -&gt;</v>
      </c>
    </row>
    <row r="19" spans="1:6" ht="12.75">
      <c r="A19" s="2">
        <v>18</v>
      </c>
      <c r="B19" t="s">
        <v>3262</v>
      </c>
      <c r="C19" t="s">
        <v>3260</v>
      </c>
      <c r="D19" s="2">
        <v>13</v>
      </c>
      <c r="E19" s="2">
        <v>7</v>
      </c>
      <c r="F19" s="3" t="str">
        <f>HYPERLINK("http://www.sah.co.rs/hyl6-10-l25-d25.html?___store=serbian"," Pogledajte proizvod na sajtu -&gt;")</f>
        <v> Pogledajte proizvod na sajtu -&gt;</v>
      </c>
    </row>
    <row r="20" spans="1:6" ht="12.75">
      <c r="A20" s="2">
        <v>19</v>
      </c>
      <c r="B20" t="s">
        <v>3263</v>
      </c>
      <c r="C20" t="s">
        <v>3264</v>
      </c>
      <c r="D20" s="2">
        <v>0</v>
      </c>
      <c r="E20" s="2">
        <v>8</v>
      </c>
      <c r="F20" s="3" t="str">
        <f>HYPERLINK("http://www.sah.co.rs/hbl6-10-l30-d25.html?___store=serbian"," Pogledajte proizvod na sajtu -&gt;")</f>
        <v> Pogledajte proizvod na sajtu -&gt;</v>
      </c>
    </row>
    <row r="21" spans="1:6" ht="12.75">
      <c r="A21" s="2">
        <v>20</v>
      </c>
      <c r="B21" t="s">
        <v>3265</v>
      </c>
      <c r="C21" t="s">
        <v>3264</v>
      </c>
      <c r="D21" s="2">
        <v>109</v>
      </c>
      <c r="E21" s="2">
        <v>8</v>
      </c>
      <c r="F21" s="3" t="str">
        <f>HYPERLINK("http://www.sah.co.rs/tlk5-6-10-l30-d25.html?___store=serbian"," Pogledajte proizvod na sajtu -&gt;")</f>
        <v> Pogledajte proizvod na sajtu -&gt;</v>
      </c>
    </row>
    <row r="22" spans="1:6" ht="12.75">
      <c r="A22" s="2">
        <v>21</v>
      </c>
      <c r="B22" t="s">
        <v>3266</v>
      </c>
      <c r="C22" t="s">
        <v>3267</v>
      </c>
      <c r="D22" s="2">
        <v>67</v>
      </c>
      <c r="E22" s="2">
        <v>6</v>
      </c>
      <c r="F22" s="3" t="str">
        <f>HYPERLINK("http://www.sah.co.rs/hyl6-6-l20-d20.html?___store=serbian"," Pogledajte proizvod na sajtu -&gt;")</f>
        <v> Pogledajte proizvod na sajtu -&gt;</v>
      </c>
    </row>
    <row r="23" spans="1:6" ht="12.75">
      <c r="A23" s="2">
        <v>22</v>
      </c>
      <c r="B23" t="s">
        <v>3268</v>
      </c>
      <c r="C23" t="s">
        <v>3267</v>
      </c>
      <c r="D23" s="2">
        <v>168</v>
      </c>
      <c r="E23" s="2">
        <v>6</v>
      </c>
      <c r="F23" s="3" t="str">
        <f>HYPERLINK("http://www.sah.co.rs/hyg6-6-l20-d20.html?___store=serbian"," Pogledajte proizvod na sajtu -&gt;")</f>
        <v> Pogledajte proizvod na sajtu -&gt;</v>
      </c>
    </row>
    <row r="24" spans="1:6" ht="12.75">
      <c r="A24" s="2">
        <v>23</v>
      </c>
      <c r="B24" t="s">
        <v>3269</v>
      </c>
      <c r="C24" t="s">
        <v>3270</v>
      </c>
      <c r="D24" s="2">
        <v>68</v>
      </c>
      <c r="E24" s="2">
        <v>6</v>
      </c>
      <c r="F24" s="3" t="str">
        <f>HYPERLINK("http://www.sah.co.rs/hyl6-6-l23-d16.html?___store=serbian"," Pogledajte proizvod na sajtu -&gt;")</f>
        <v> Pogledajte proizvod na sajtu -&gt;</v>
      </c>
    </row>
    <row r="25" spans="1:6" ht="12.75">
      <c r="A25" s="2">
        <v>24</v>
      </c>
      <c r="B25" t="s">
        <v>3271</v>
      </c>
      <c r="C25" t="s">
        <v>3272</v>
      </c>
      <c r="D25" s="2">
        <v>477</v>
      </c>
      <c r="E25" s="2">
        <v>7</v>
      </c>
      <c r="F25" s="3" t="str">
        <f>HYPERLINK("http://www.sah.co.rs/tlk5-6-6-l25-d18.html?___store=serbian"," Pogledajte proizvod na sajtu -&gt;")</f>
        <v> Pogledajte proizvod na sajtu -&gt;</v>
      </c>
    </row>
    <row r="26" spans="1:6" ht="12.75">
      <c r="A26" s="2">
        <v>25</v>
      </c>
      <c r="B26" t="s">
        <v>3273</v>
      </c>
      <c r="C26" t="s">
        <v>3274</v>
      </c>
      <c r="D26" s="2">
        <v>189</v>
      </c>
      <c r="E26" s="2">
        <v>6</v>
      </c>
      <c r="F26" s="3" t="str">
        <f>HYPERLINK("http://www.sah.co.rs/hyg6-6-l25-d20.html?___store=serbian"," Pogledajte proizvod na sajtu -&gt;")</f>
        <v> Pogledajte proizvod na sajtu -&gt;</v>
      </c>
    </row>
    <row r="27" spans="1:6" ht="12.75">
      <c r="A27" s="2">
        <v>26</v>
      </c>
      <c r="B27" t="s">
        <v>3275</v>
      </c>
      <c r="C27" t="s">
        <v>3274</v>
      </c>
      <c r="D27" s="2">
        <v>78</v>
      </c>
      <c r="E27" s="2">
        <v>7</v>
      </c>
      <c r="F27" s="3" t="str">
        <f>HYPERLINK("http://www.sah.co.rs/hyl6-6-l25-d20.html?___store=serbian"," Pogledajte proizvod na sajtu -&gt;")</f>
        <v> Pogledajte proizvod na sajtu -&gt;</v>
      </c>
    </row>
    <row r="28" spans="1:6" ht="12.75">
      <c r="A28" s="2">
        <v>27</v>
      </c>
      <c r="B28" t="s">
        <v>3276</v>
      </c>
      <c r="C28" t="s">
        <v>3274</v>
      </c>
      <c r="D28" s="2">
        <v>172</v>
      </c>
      <c r="E28" s="2">
        <v>6</v>
      </c>
      <c r="F28" s="3" t="str">
        <f>HYPERLINK("http://www.sah.co.rs/hbl6-6-l25-d20.html?___store=serbian"," Pogledajte proizvod na sajtu -&gt;")</f>
        <v> Pogledajte proizvod na sajtu -&gt;</v>
      </c>
    </row>
    <row r="29" spans="1:6" ht="12.75">
      <c r="A29" s="2">
        <v>28</v>
      </c>
      <c r="B29" t="s">
        <v>3277</v>
      </c>
      <c r="C29" t="s">
        <v>3278</v>
      </c>
      <c r="D29" s="2">
        <v>93</v>
      </c>
      <c r="E29" s="2">
        <v>7.5</v>
      </c>
      <c r="F29" s="3" t="str">
        <f>HYPERLINK("http://www.sah.co.rs/hyg6-6-l25-d25.html?___store=serbian"," Pogledajte proizvod na sajtu -&gt;")</f>
        <v> Pogledajte proizvod na sajtu -&gt;</v>
      </c>
    </row>
    <row r="30" spans="1:6" ht="12.75">
      <c r="A30" s="2">
        <v>29</v>
      </c>
      <c r="B30" t="s">
        <v>3279</v>
      </c>
      <c r="C30" t="s">
        <v>3280</v>
      </c>
      <c r="D30" s="2">
        <v>190</v>
      </c>
      <c r="E30" s="2">
        <v>7</v>
      </c>
      <c r="F30" s="3" t="str">
        <f>HYPERLINK("http://www.sah.co.rs/hbl6-6-l30-d20.html?___store=serbian"," Pogledajte proizvod na sajtu -&gt;")</f>
        <v> Pogledajte proizvod na sajtu -&gt;</v>
      </c>
    </row>
    <row r="31" spans="1:6" ht="12.75">
      <c r="A31" s="2">
        <v>30</v>
      </c>
      <c r="B31" t="s">
        <v>3281</v>
      </c>
      <c r="C31" t="s">
        <v>3282</v>
      </c>
      <c r="D31" s="2">
        <v>280</v>
      </c>
      <c r="E31" s="2">
        <v>8</v>
      </c>
      <c r="F31" s="3" t="str">
        <f>HYPERLINK("http://www.sah.co.rs/tlk5-6-6-l30-d25.html?___store=serbian"," Pogledajte proizvod na sajtu -&gt;")</f>
        <v> Pogledajte proizvod na sajtu -&gt;</v>
      </c>
    </row>
    <row r="32" spans="1:6" ht="12.75">
      <c r="A32" s="2">
        <v>31</v>
      </c>
      <c r="B32" t="s">
        <v>3283</v>
      </c>
      <c r="C32" t="s">
        <v>3284</v>
      </c>
      <c r="D32" s="2">
        <v>73</v>
      </c>
      <c r="E32" s="2">
        <v>6</v>
      </c>
      <c r="F32" s="3" t="str">
        <f>HYPERLINK("http://www.sah.co.rs/hyg6-8-l25-d20.html?___store=serbian"," Pogledajte proizvod na sajtu -&gt;")</f>
        <v> Pogledajte proizvod na sajtu -&gt;</v>
      </c>
    </row>
    <row r="33" spans="1:6" ht="12.75">
      <c r="A33" s="2">
        <v>32</v>
      </c>
      <c r="B33" t="s">
        <v>3285</v>
      </c>
      <c r="C33" t="s">
        <v>3284</v>
      </c>
      <c r="D33" s="2">
        <v>3</v>
      </c>
      <c r="E33" s="2">
        <v>7</v>
      </c>
      <c r="F33" s="3" t="str">
        <f>HYPERLINK("http://www.sah.co.rs/hyl6-8-l25-d20.html?___store=serbian"," Pogledajte proizvod na sajtu -&gt;")</f>
        <v> Pogledajte proizvod na sajtu -&gt;</v>
      </c>
    </row>
    <row r="34" spans="1:6" ht="12.75">
      <c r="A34" s="2">
        <v>33</v>
      </c>
      <c r="B34" t="s">
        <v>3286</v>
      </c>
      <c r="C34" t="s">
        <v>3287</v>
      </c>
      <c r="D34" s="2">
        <v>17</v>
      </c>
      <c r="E34" s="2">
        <v>7</v>
      </c>
      <c r="F34" s="3" t="str">
        <f>HYPERLINK("http://www.sah.co.rs/hbl6-8-l25-d25.html?___store=serbian"," Pogledajte proizvod na sajtu -&gt;")</f>
        <v> Pogledajte proizvod na sajtu -&gt;</v>
      </c>
    </row>
    <row r="35" spans="1:6" ht="12.75">
      <c r="A35" s="2">
        <v>34</v>
      </c>
      <c r="B35" t="s">
        <v>3288</v>
      </c>
      <c r="C35" t="s">
        <v>3287</v>
      </c>
      <c r="D35" s="2">
        <v>115</v>
      </c>
      <c r="E35" s="2">
        <v>7.5</v>
      </c>
      <c r="F35" s="3" t="str">
        <f>HYPERLINK("http://www.sah.co.rs/hyg6-8-l25-d25.html?___store=serbian"," Pogledajte proizvod na sajtu -&gt;")</f>
        <v> Pogledajte proizvod na sajtu -&gt;</v>
      </c>
    </row>
    <row r="36" spans="1:6" ht="12.75">
      <c r="A36" s="2">
        <v>35</v>
      </c>
      <c r="B36" t="s">
        <v>3289</v>
      </c>
      <c r="C36" t="s">
        <v>3290</v>
      </c>
      <c r="D36" s="2">
        <v>64</v>
      </c>
      <c r="E36" s="2">
        <v>7</v>
      </c>
      <c r="F36" s="3" t="str">
        <f>HYPERLINK("http://www.sah.co.rs/hbl6-8-l30-d20.html?___store=serbian"," Pogledajte proizvod na sajtu -&gt;")</f>
        <v> Pogledajte proizvod na sajtu -&gt;</v>
      </c>
    </row>
    <row r="37" spans="1:6" ht="12.75">
      <c r="A37" s="2">
        <v>36</v>
      </c>
      <c r="B37" t="s">
        <v>3291</v>
      </c>
      <c r="C37" t="s">
        <v>3292</v>
      </c>
      <c r="D37" s="2">
        <v>15</v>
      </c>
      <c r="E37" s="2">
        <v>7</v>
      </c>
      <c r="F37" s="3" t="str">
        <f>HYPERLINK("http://www.sah.co.rs/hbl6-8-l30-d25.html?___store=serbian"," Pogledajte proizvod na sajtu -&gt;")</f>
        <v> Pogledajte proizvod na sajtu -&gt;</v>
      </c>
    </row>
    <row r="38" spans="1:6" ht="12.75">
      <c r="A38" s="2">
        <v>37</v>
      </c>
      <c r="B38" t="s">
        <v>3293</v>
      </c>
      <c r="C38" t="s">
        <v>3292</v>
      </c>
      <c r="D38" s="2">
        <v>189</v>
      </c>
      <c r="E38" s="2">
        <v>8</v>
      </c>
      <c r="F38" s="3" t="str">
        <f>HYPERLINK("http://www.sah.co.rs/tlk5-6-8-l30-d25.html?___store=serbian"," Pogledajte proizvod na sajtu -&gt;")</f>
        <v> Pogledajte proizvod na sajtu -&gt;</v>
      </c>
    </row>
    <row r="39" spans="1:6" ht="12.75">
      <c r="A39" s="2">
        <v>38</v>
      </c>
      <c r="B39" t="s">
        <v>3294</v>
      </c>
      <c r="C39" t="s">
        <v>3295</v>
      </c>
      <c r="D39" s="2">
        <v>40</v>
      </c>
      <c r="E39" s="2">
        <v>7</v>
      </c>
      <c r="F39" s="3" t="str">
        <f>HYPERLINK("http://www.sah.co.rs/hyl8-10-l25-d22.html?___store=serbian"," Pogledajte proizvod na sajtu -&gt;")</f>
        <v> Pogledajte proizvod na sajtu -&gt;</v>
      </c>
    </row>
    <row r="40" spans="1:6" ht="12.75">
      <c r="A40" s="2">
        <v>39</v>
      </c>
      <c r="B40" t="s">
        <v>3296</v>
      </c>
      <c r="C40" t="s">
        <v>3297</v>
      </c>
      <c r="D40" s="2">
        <v>28</v>
      </c>
      <c r="E40" s="2">
        <v>7</v>
      </c>
      <c r="F40" s="3" t="str">
        <f>HYPERLINK("http://www.sah.co.rs/hyl8-10-l25-d25.html?___store=serbian"," Pogledajte proizvod na sajtu -&gt;")</f>
        <v> Pogledajte proizvod na sajtu -&gt;</v>
      </c>
    </row>
    <row r="41" spans="1:6" ht="12.75">
      <c r="A41" s="2">
        <v>40</v>
      </c>
      <c r="B41" t="s">
        <v>3298</v>
      </c>
      <c r="C41" t="s">
        <v>3297</v>
      </c>
      <c r="D41" s="2">
        <v>72</v>
      </c>
      <c r="E41" s="2">
        <v>7</v>
      </c>
      <c r="F41" s="3" t="str">
        <f>HYPERLINK("http://www.sah.co.rs/hyg8-10-l25-d25.html?___store=serbian"," Pogledajte proizvod na sajtu -&gt;")</f>
        <v> Pogledajte proizvod na sajtu -&gt;</v>
      </c>
    </row>
    <row r="42" spans="1:6" ht="12.75">
      <c r="A42" s="2">
        <v>41</v>
      </c>
      <c r="B42" t="s">
        <v>3299</v>
      </c>
      <c r="C42" t="s">
        <v>3297</v>
      </c>
      <c r="D42" s="2">
        <v>65</v>
      </c>
      <c r="E42" s="2">
        <v>7</v>
      </c>
      <c r="F42" s="3" t="str">
        <f>HYPERLINK("http://www.sah.co.rs/hbl8-10-l25-d25.html?___store=serbian"," Pogledajte proizvod na sajtu -&gt;")</f>
        <v> Pogledajte proizvod na sajtu -&gt;</v>
      </c>
    </row>
    <row r="43" spans="1:6" ht="12.75">
      <c r="A43" s="2">
        <v>42</v>
      </c>
      <c r="B43" t="s">
        <v>3300</v>
      </c>
      <c r="C43" t="s">
        <v>3301</v>
      </c>
      <c r="D43" s="2">
        <v>111</v>
      </c>
      <c r="E43" s="2">
        <v>8</v>
      </c>
      <c r="F43" s="3" t="str">
        <f>HYPERLINK("http://www.sah.co.rs/tlk5-8-10-l30-d25.html?___store=serbian"," Pogledajte proizvod na sajtu -&gt;")</f>
        <v> Pogledajte proizvod na sajtu -&gt;</v>
      </c>
    </row>
    <row r="44" spans="1:6" ht="12.75">
      <c r="A44" s="2">
        <v>43</v>
      </c>
      <c r="B44" t="s">
        <v>3302</v>
      </c>
      <c r="C44" t="s">
        <v>3301</v>
      </c>
      <c r="D44" s="2">
        <v>18</v>
      </c>
      <c r="E44" s="2">
        <v>7</v>
      </c>
      <c r="F44" s="3" t="str">
        <f>HYPERLINK("http://www.sah.co.rs/hbl8-10-l30-d25.html?___store=serbian"," Pogledajte proizvod na sajtu -&gt;")</f>
        <v> Pogledajte proizvod na sajtu -&gt;</v>
      </c>
    </row>
    <row r="45" spans="1:6" ht="12.75">
      <c r="A45" s="2">
        <v>44</v>
      </c>
      <c r="B45" t="s">
        <v>3303</v>
      </c>
      <c r="C45" t="s">
        <v>3304</v>
      </c>
      <c r="D45" s="2">
        <v>15</v>
      </c>
      <c r="E45" s="2">
        <v>7</v>
      </c>
      <c r="F45" s="3" t="str">
        <f>HYPERLINK("http://www.sah.co.rs/hbl8-8-l25-d25.html?___store=serbian"," Pogledajte proizvod na sajtu -&gt;")</f>
        <v> Pogledajte proizvod na sajtu -&gt;</v>
      </c>
    </row>
    <row r="46" spans="1:6" ht="12.75">
      <c r="A46" s="2">
        <v>45</v>
      </c>
      <c r="B46" t="s">
        <v>3305</v>
      </c>
      <c r="C46" t="s">
        <v>3306</v>
      </c>
      <c r="D46" s="2">
        <v>89</v>
      </c>
      <c r="E46" s="2">
        <v>8</v>
      </c>
      <c r="F46" s="3" t="str">
        <f>HYPERLINK("http://www.sah.co.rs/tlk5-8-8-l30-d25.html?___store=serbian"," Pogledajte proizvod na sajtu -&gt;")</f>
        <v> Pogledajte proizvod na sajtu -&gt;</v>
      </c>
    </row>
    <row r="47" spans="1:6" ht="12.75">
      <c r="A47" s="2">
        <v>46</v>
      </c>
      <c r="B47" t="s">
        <v>3307</v>
      </c>
      <c r="C47" t="s">
        <v>3306</v>
      </c>
      <c r="D47" s="2">
        <v>1</v>
      </c>
      <c r="E47" s="2">
        <v>8</v>
      </c>
      <c r="F47" s="3" t="str">
        <f>HYPERLINK("http://www.sah.co.rs/hbl8-8-l30-d25.html?___store=serbian","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6.57421875" style="0" customWidth="1"/>
    <col min="3" max="3" width="101.85156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3308</v>
      </c>
      <c r="C2" t="s">
        <v>3309</v>
      </c>
      <c r="D2" s="2">
        <v>31</v>
      </c>
      <c r="E2" s="2">
        <v>8</v>
      </c>
      <c r="F2" s="3" t="str">
        <f>HYPERLINK("http://www.sah.co.rs/ssr-zg3nc-510b.html?___store=serbian"," Pogledajte proizvod na sajtu -&gt;")</f>
        <v> Pogledajte proizvod na sajtu -&gt;</v>
      </c>
    </row>
    <row r="3" spans="1:6" ht="12.75">
      <c r="A3" s="2">
        <v>2</v>
      </c>
      <c r="B3" t="s">
        <v>3310</v>
      </c>
      <c r="C3" t="s">
        <v>3311</v>
      </c>
      <c r="D3" s="2">
        <v>51</v>
      </c>
      <c r="E3" s="2">
        <v>10</v>
      </c>
      <c r="F3" s="3" t="str">
        <f>HYPERLINK("http://www.sah.co.rs/ssr-10dd.html?___store=serbian"," Pogledajte proizvod na sajtu -&gt;")</f>
        <v> Pogledajte proizvod na sajtu -&gt;</v>
      </c>
    </row>
    <row r="4" spans="1:6" ht="12.75">
      <c r="A4" s="2">
        <v>3</v>
      </c>
      <c r="B4" t="s">
        <v>3312</v>
      </c>
      <c r="C4" t="s">
        <v>3313</v>
      </c>
      <c r="D4" s="2">
        <v>99</v>
      </c>
      <c r="E4" s="2">
        <v>10</v>
      </c>
      <c r="F4" s="3" t="str">
        <f>HYPERLINK("http://www.sah.co.rs/ssr-zg3nc-525b.html?___store=serbian"," Pogledajte proizvod na sajtu -&gt;")</f>
        <v> Pogledajte proizvod na sajtu -&gt;</v>
      </c>
    </row>
    <row r="5" spans="1:6" ht="12.75">
      <c r="A5" s="2">
        <v>4</v>
      </c>
      <c r="B5" t="s">
        <v>3314</v>
      </c>
      <c r="C5" t="s">
        <v>3315</v>
      </c>
      <c r="D5" s="2">
        <v>72</v>
      </c>
      <c r="E5" s="2">
        <v>15</v>
      </c>
      <c r="F5" s="3" t="str">
        <f>HYPERLINK("http://www.sah.co.rs/ssr-30dd.html?___store=serbian"," Pogledajte proizvod na sajtu -&gt;")</f>
        <v> Pogledajte proizvod na sajtu -&gt;</v>
      </c>
    </row>
    <row r="6" spans="1:6" ht="12.75">
      <c r="A6" s="2">
        <v>5</v>
      </c>
      <c r="B6" t="s">
        <v>3316</v>
      </c>
      <c r="C6" t="s">
        <v>3317</v>
      </c>
      <c r="D6" s="2">
        <v>40</v>
      </c>
      <c r="E6" s="2">
        <v>14</v>
      </c>
      <c r="F6" s="3" t="str">
        <f>HYPERLINK("http://www.sah.co.rs/ssr-zg3nc-540b.html?___store=serbian"," Pogledajte proizvod na sajtu -&gt;")</f>
        <v> Pogledajte proizvod na sajtu -&gt;</v>
      </c>
    </row>
    <row r="7" spans="1:6" ht="12.75">
      <c r="A7" s="2">
        <v>6</v>
      </c>
      <c r="B7" t="s">
        <v>3318</v>
      </c>
      <c r="C7" t="s">
        <v>3319</v>
      </c>
      <c r="D7" s="2">
        <v>34</v>
      </c>
      <c r="E7" s="2">
        <v>20</v>
      </c>
      <c r="F7" s="3" t="str">
        <f>HYPERLINK("http://www.sah.co.rs/zg1nc-340d.html?___store=serbian"," Pogledajte proizvod na sajtu -&gt;")</f>
        <v> Pogledajte proizvod na sajtu -&gt;</v>
      </c>
    </row>
    <row r="8" spans="1:6" ht="12.75">
      <c r="A8" s="2">
        <v>7</v>
      </c>
      <c r="B8" t="s">
        <v>3320</v>
      </c>
      <c r="C8" t="s">
        <v>3321</v>
      </c>
      <c r="D8" s="2">
        <v>48</v>
      </c>
      <c r="E8" s="2">
        <v>25</v>
      </c>
      <c r="F8" s="3" t="str">
        <f>HYPERLINK("http://www.sah.co.rs/dts-40a-24v.html?___store=serbian"," Pogledajte proizvod na sajtu -&gt;")</f>
        <v> Pogledajte proizvod na sajtu -&gt;</v>
      </c>
    </row>
    <row r="9" spans="1:6" ht="12.75">
      <c r="A9" s="2">
        <v>8</v>
      </c>
      <c r="B9" t="s">
        <v>3322</v>
      </c>
      <c r="C9" t="s">
        <v>3323</v>
      </c>
      <c r="D9" s="2">
        <v>110</v>
      </c>
      <c r="E9" s="2">
        <v>10</v>
      </c>
      <c r="F9" s="3" t="str">
        <f>HYPERLINK("http://www.sah.co.rs/zg1nc-340c.html?___store=serbian"," Pogledajte proizvod na sajtu -&gt;")</f>
        <v> Pogledajte proizvod na sajtu -&gt;</v>
      </c>
    </row>
    <row r="10" spans="1:6" ht="12.75">
      <c r="A10" s="2">
        <v>9</v>
      </c>
      <c r="B10" t="s">
        <v>3324</v>
      </c>
      <c r="C10" t="s">
        <v>3325</v>
      </c>
      <c r="D10" s="2">
        <v>70</v>
      </c>
      <c r="E10" s="2">
        <v>12</v>
      </c>
      <c r="F10" s="3" t="str">
        <f>HYPERLINK("http://www.sah.co.rs/ssr-15va.html?___store=serbian"," Pogledajte proizvod na sajtu -&gt;")</f>
        <v> Pogledajte proizvod na sajtu -&gt;</v>
      </c>
    </row>
    <row r="11" spans="1:6" ht="12.75">
      <c r="A11" s="2">
        <v>10</v>
      </c>
      <c r="B11" t="s">
        <v>3326</v>
      </c>
      <c r="C11" t="s">
        <v>3327</v>
      </c>
      <c r="D11" s="2">
        <v>134</v>
      </c>
      <c r="E11" s="2">
        <v>8</v>
      </c>
      <c r="F11" s="3" t="str">
        <f>HYPERLINK("http://www.sah.co.rs/ssr-25dv.html?___store=serbian"," Pogledajte proizvod na sajtu -&gt;")</f>
        <v> Pogledajte proizvod na sajtu -&gt;</v>
      </c>
    </row>
    <row r="12" spans="1:6" ht="12.75">
      <c r="A12" s="2">
        <v>11</v>
      </c>
      <c r="B12" t="s">
        <v>3328</v>
      </c>
      <c r="C12" t="s">
        <v>3329</v>
      </c>
      <c r="D12" s="2">
        <v>65</v>
      </c>
      <c r="E12" s="2">
        <v>10</v>
      </c>
      <c r="F12" s="3" t="str">
        <f>HYPERLINK("http://www.sah.co.rs/ssr-40dv.html?___store=serbian"," Pogledajte proizvod na sajtu -&gt;")</f>
        <v> Pogledajte proizvod na sajtu -&gt;</v>
      </c>
    </row>
    <row r="13" spans="1:6" ht="12.75">
      <c r="A13" s="2">
        <v>12</v>
      </c>
      <c r="B13" t="s">
        <v>3330</v>
      </c>
      <c r="C13" t="s">
        <v>3331</v>
      </c>
      <c r="D13" s="2">
        <v>103</v>
      </c>
      <c r="E13" s="2">
        <v>9.5</v>
      </c>
      <c r="F13" s="3" t="str">
        <f>HYPERLINK("http://www.sah.co.rs/ssr-25da-p.html?___store=serbian"," Pogledajte proizvod na sajtu -&gt;")</f>
        <v> Pogledajte proizvod na sajtu -&gt;</v>
      </c>
    </row>
    <row r="14" spans="1:6" ht="12.75">
      <c r="A14" s="2">
        <v>13</v>
      </c>
      <c r="B14" t="s">
        <v>3332</v>
      </c>
      <c r="C14" t="s">
        <v>3333</v>
      </c>
      <c r="D14" s="2">
        <v>189</v>
      </c>
      <c r="E14" s="2">
        <v>11</v>
      </c>
      <c r="F14" s="3" t="str">
        <f>HYPERLINK("http://www.sah.co.rs/ssr-40da-p.html?___store=serbian"," Pogledajte proizvod na sajtu -&gt;")</f>
        <v> Pogledajte proizvod na sajtu -&gt;</v>
      </c>
    </row>
    <row r="15" spans="1:6" ht="12.75">
      <c r="A15" s="2">
        <v>14</v>
      </c>
      <c r="B15" t="s">
        <v>3334</v>
      </c>
      <c r="C15" t="s">
        <v>3335</v>
      </c>
      <c r="D15" s="2">
        <v>34</v>
      </c>
      <c r="E15" s="2">
        <v>20</v>
      </c>
      <c r="F15" s="3" t="str">
        <f>HYPERLINK("http://www.sah.co.rs/ssr-40la-b.html?___store=serbian"," Pogledajte proizvod na sajtu -&gt;")</f>
        <v> Pogledajte proizvod na sajtu -&gt;</v>
      </c>
    </row>
    <row r="16" spans="1:6" ht="12.75">
      <c r="A16" s="2">
        <v>15</v>
      </c>
      <c r="B16" t="s">
        <v>3336</v>
      </c>
      <c r="C16" t="s">
        <v>3337</v>
      </c>
      <c r="D16" s="2">
        <v>43</v>
      </c>
      <c r="E16" s="2">
        <v>20</v>
      </c>
      <c r="F16" s="3" t="str">
        <f>HYPERLINK("http://www.sah.co.rs/ssr-40la.html?___store=serbian"," Pogledajte proizvod na sajtu -&gt;")</f>
        <v> Pogledajte proizvod na sajtu -&gt;</v>
      </c>
    </row>
    <row r="17" spans="1:6" ht="12.75">
      <c r="A17" s="2">
        <v>16</v>
      </c>
      <c r="B17" t="s">
        <v>3338</v>
      </c>
      <c r="C17" t="s">
        <v>3339</v>
      </c>
      <c r="D17" s="2">
        <v>7</v>
      </c>
      <c r="E17" s="2">
        <v>50</v>
      </c>
      <c r="F17" s="3" t="str">
        <f>HYPERLINK("http://www.sah.co.rs/tsr3-2kda-h-zf.html?___store=serbian"," Pogledajte proizvod na sajtu -&gt;")</f>
        <v> Pogledajte proizvod na sajtu -&gt;</v>
      </c>
    </row>
    <row r="18" spans="1:6" ht="12.75">
      <c r="A18" s="2">
        <v>17</v>
      </c>
      <c r="B18" t="s">
        <v>3340</v>
      </c>
      <c r="C18" t="s">
        <v>3341</v>
      </c>
      <c r="D18" s="2">
        <v>10</v>
      </c>
      <c r="E18" s="2">
        <v>70</v>
      </c>
      <c r="F18" s="3" t="str">
        <f>HYPERLINK("http://www.sah.co.rs/tsr3-3kda-h-zf.html?___store=serbian"," Pogledajte proizvod na sajtu -&gt;")</f>
        <v> Pogledajte proizvod na sajtu -&gt;</v>
      </c>
    </row>
    <row r="19" spans="1:6" ht="12.75">
      <c r="A19" s="2">
        <v>18</v>
      </c>
      <c r="B19" t="s">
        <v>3342</v>
      </c>
      <c r="C19" t="s">
        <v>3343</v>
      </c>
      <c r="D19" s="2">
        <v>83</v>
      </c>
      <c r="E19" s="2">
        <v>30</v>
      </c>
      <c r="F19" s="3" t="str">
        <f>HYPERLINK("http://www.sah.co.rs/gyssr-100da.html?___store=serbian"," Pogledajte proizvod na sajtu -&gt;")</f>
        <v> Pogledajte proizvod na sajtu -&gt;</v>
      </c>
    </row>
    <row r="20" spans="1:6" ht="12.75">
      <c r="A20" s="2">
        <v>19</v>
      </c>
      <c r="B20" t="s">
        <v>3344</v>
      </c>
      <c r="C20" t="s">
        <v>3345</v>
      </c>
      <c r="D20" s="2">
        <v>0</v>
      </c>
      <c r="E20" s="2">
        <v>30</v>
      </c>
      <c r="F20" s="3" t="str">
        <f>HYPERLINK("http://www.sah.co.rs/d3100zf.html?___store=serbian"," Pogledajte proizvod na sajtu -&gt;")</f>
        <v> Pogledajte proizvod na sajtu -&gt;</v>
      </c>
    </row>
    <row r="21" spans="1:6" ht="12.75">
      <c r="A21" s="2">
        <v>20</v>
      </c>
      <c r="B21" t="s">
        <v>3346</v>
      </c>
      <c r="C21" t="s">
        <v>3347</v>
      </c>
      <c r="D21" s="2">
        <v>11</v>
      </c>
      <c r="E21" s="2">
        <v>40</v>
      </c>
      <c r="F21" s="3" t="str">
        <f>HYPERLINK("http://www.sah.co.rs/gyssr-200da.html?___store=serbian"," Pogledajte proizvod na sajtu -&gt;")</f>
        <v> Pogledajte proizvod na sajtu -&gt;</v>
      </c>
    </row>
    <row r="22" spans="1:6" ht="12.75">
      <c r="A22" s="2">
        <v>21</v>
      </c>
      <c r="B22" t="s">
        <v>3348</v>
      </c>
      <c r="C22" t="s">
        <v>3349</v>
      </c>
      <c r="D22" s="2">
        <v>0</v>
      </c>
      <c r="E22" s="2">
        <v>8</v>
      </c>
      <c r="F22" s="3" t="str">
        <f>HYPERLINK("http://www.sah.co.rs/zg3nc-325b.html?___store=serbian"," Pogledajte proizvod na sajtu -&gt;")</f>
        <v> Pogledajte proizvod na sajtu -&gt;</v>
      </c>
    </row>
    <row r="23" spans="1:6" ht="12.75">
      <c r="A23" s="2">
        <v>22</v>
      </c>
      <c r="B23" t="s">
        <v>3350</v>
      </c>
      <c r="C23" t="s">
        <v>3351</v>
      </c>
      <c r="D23" s="2">
        <v>191</v>
      </c>
      <c r="E23" s="2">
        <v>30</v>
      </c>
      <c r="F23" s="3" t="str">
        <f>HYPERLINK("http://www.sah.co.rs/zg33-340b.html?___store=serbian"," Pogledajte proizvod na sajtu -&gt;")</f>
        <v> Pogledajte proizvod na sajtu -&gt;</v>
      </c>
    </row>
    <row r="24" spans="1:6" ht="12.75">
      <c r="A24" s="2">
        <v>23</v>
      </c>
      <c r="B24" t="s">
        <v>3352</v>
      </c>
      <c r="C24" t="s">
        <v>3353</v>
      </c>
      <c r="D24" s="2">
        <v>167</v>
      </c>
      <c r="E24" s="2">
        <v>10</v>
      </c>
      <c r="F24" s="3" t="str">
        <f>HYPERLINK("http://www.sah.co.rs/zg3nc-340b.html?___store=serbian"," Pogledajte proizvod na sajtu -&gt;")</f>
        <v> Pogledajte proizvod na sajtu -&gt;</v>
      </c>
    </row>
    <row r="25" spans="1:6" ht="12.75">
      <c r="A25" s="2">
        <v>24</v>
      </c>
      <c r="B25" t="s">
        <v>3354</v>
      </c>
      <c r="C25" t="s">
        <v>3355</v>
      </c>
      <c r="D25" s="2">
        <v>89</v>
      </c>
      <c r="E25" s="2">
        <v>45</v>
      </c>
      <c r="F25" s="3" t="str">
        <f>HYPERLINK("http://www.sah.co.rs/zg33-360b.html?___store=serbian"," Pogledajte proizvod na sajtu -&gt;")</f>
        <v> Pogledajte proizvod na sajtu -&gt;</v>
      </c>
    </row>
    <row r="26" spans="1:6" ht="12.75">
      <c r="A26" s="2">
        <v>25</v>
      </c>
      <c r="B26" t="s">
        <v>3356</v>
      </c>
      <c r="C26" t="s">
        <v>3357</v>
      </c>
      <c r="D26" s="2">
        <v>65</v>
      </c>
      <c r="E26" s="2">
        <v>14</v>
      </c>
      <c r="F26" s="3" t="str">
        <f>HYPERLINK("http://www.sah.co.rs/zg3nc-360b.html?___store=serbian"," Pogledajte proizvod na sajtu -&gt;")</f>
        <v> Pogledajte proizvod na sajtu -&gt;</v>
      </c>
    </row>
    <row r="27" spans="1:6" ht="12.75">
      <c r="A27" s="2">
        <v>26</v>
      </c>
      <c r="B27" t="s">
        <v>3358</v>
      </c>
      <c r="C27" t="s">
        <v>3359</v>
      </c>
      <c r="D27" s="2">
        <v>67</v>
      </c>
      <c r="E27" s="2">
        <v>15</v>
      </c>
      <c r="F27" s="3" t="str">
        <f>HYPERLINK("http://www.sah.co.rs/zg3nc-380b.html?___store=serbian"," Pogledajte proizvod na sajtu -&gt;")</f>
        <v> Pogledajte proizvod na sajtu -&gt;</v>
      </c>
    </row>
    <row r="28" spans="1:6" ht="12.75">
      <c r="A28" s="2">
        <v>27</v>
      </c>
      <c r="B28" t="s">
        <v>3360</v>
      </c>
      <c r="C28" t="s">
        <v>3361</v>
      </c>
      <c r="D28" s="2">
        <v>29</v>
      </c>
      <c r="E28" s="2">
        <v>12</v>
      </c>
      <c r="F28" s="3" t="str">
        <f>HYPERLINK("http://www.sah.co.rs/ssr-100da.html?___store=serbian"," Pogledajte proizvod na sajtu -&gt;")</f>
        <v> Pogledajte proizvod na sajtu -&gt;</v>
      </c>
    </row>
    <row r="29" spans="1:6" ht="12.75">
      <c r="A29" s="2">
        <v>28</v>
      </c>
      <c r="B29" t="s">
        <v>3362</v>
      </c>
      <c r="C29" t="s">
        <v>3363</v>
      </c>
      <c r="D29" s="2">
        <v>45</v>
      </c>
      <c r="E29" s="2">
        <v>30</v>
      </c>
      <c r="F29" s="3" t="str">
        <f>HYPERLINK("http://www.sah.co.rs/zg33-3-m4810.html?___store=serbian"," Pogledajte proizvod na sajtu -&gt;")</f>
        <v> Pogledajte proizvod na sajtu -&gt;</v>
      </c>
    </row>
    <row r="30" spans="1:6" ht="12.75">
      <c r="A30" s="2">
        <v>29</v>
      </c>
      <c r="B30" t="s">
        <v>3364</v>
      </c>
      <c r="C30" t="s">
        <v>3365</v>
      </c>
      <c r="D30" s="2">
        <v>132</v>
      </c>
      <c r="E30" s="2">
        <v>11.5</v>
      </c>
      <c r="F30" s="3" t="str">
        <f>HYPERLINK("http://www.sah.co.rs/ssr-f-25da.html?___store=serbian"," Pogledajte proizvod na sajtu -&gt;")</f>
        <v> Pogledajte proizvod na sajtu -&gt;</v>
      </c>
    </row>
    <row r="31" spans="1:6" ht="12.75">
      <c r="A31" s="2">
        <v>30</v>
      </c>
      <c r="B31" t="s">
        <v>3366</v>
      </c>
      <c r="C31" t="s">
        <v>3367</v>
      </c>
      <c r="D31" s="2">
        <v>128</v>
      </c>
      <c r="E31" s="2">
        <v>13</v>
      </c>
      <c r="F31" s="3" t="str">
        <f>HYPERLINK("http://www.sah.co.rs/ssr-f-40da.html?___store=serbian"," Pogledajte proizvod na sajtu -&gt;")</f>
        <v> Pogledajte proizvod na sajtu -&gt;</v>
      </c>
    </row>
    <row r="32" spans="1:6" ht="12.75">
      <c r="A32" s="2">
        <v>31</v>
      </c>
      <c r="B32" t="s">
        <v>3368</v>
      </c>
      <c r="C32" t="s">
        <v>3369</v>
      </c>
      <c r="D32" s="2">
        <v>214</v>
      </c>
      <c r="E32" s="2">
        <v>30</v>
      </c>
      <c r="F32" s="3" t="str">
        <f>HYPERLINK("http://www.sah.co.rs/ssr3-40da-h.html?___store=serbian"," Pogledajte proizvod na sajtu -&gt;")</f>
        <v> Pogledajte proizvod na sajtu -&gt;</v>
      </c>
    </row>
    <row r="33" spans="1:6" ht="12.75">
      <c r="A33" s="2">
        <v>32</v>
      </c>
      <c r="B33" t="s">
        <v>3370</v>
      </c>
      <c r="C33" t="s">
        <v>3371</v>
      </c>
      <c r="D33" s="2">
        <v>102</v>
      </c>
      <c r="E33" s="2">
        <v>45</v>
      </c>
      <c r="F33" s="3" t="str">
        <f>HYPERLINK("http://www.sah.co.rs/ssr3-60da-h.html?___store=serbian"," Pogledajte proizvod na sajtu -&gt;")</f>
        <v> Pogledajte proizvod na sajtu -&gt;</v>
      </c>
    </row>
    <row r="34" spans="1:6" ht="12.75">
      <c r="A34" s="2">
        <v>33</v>
      </c>
      <c r="B34" t="s">
        <v>3372</v>
      </c>
      <c r="C34" t="s">
        <v>3373</v>
      </c>
      <c r="D34" s="2">
        <v>33</v>
      </c>
      <c r="E34" s="2">
        <v>12</v>
      </c>
      <c r="F34" s="3" t="str">
        <f>HYPERLINK("http://www.sah.co.rs/rma-40-40a400.html?___store=serbian"," Pogledajte proizvod na sajtu -&gt;")</f>
        <v> Pogledajte proizvod na sajtu -&gt;</v>
      </c>
    </row>
    <row r="35" spans="1:6" ht="12.75">
      <c r="A35" s="2">
        <v>34</v>
      </c>
      <c r="B35" t="s">
        <v>3374</v>
      </c>
      <c r="C35" t="s">
        <v>3375</v>
      </c>
      <c r="D35" s="2">
        <v>34</v>
      </c>
      <c r="E35" s="2">
        <v>20</v>
      </c>
      <c r="F35" s="3" t="str">
        <f>HYPERLINK("http://www.sah.co.rs/rst-t-40a400.html?___store=serbian"," Pogledajte proizvod na sajtu -&gt;")</f>
        <v> Pogledajte proizvod na sajtu -&gt;</v>
      </c>
    </row>
    <row r="36" spans="1:6" ht="12.75">
      <c r="A36" s="2">
        <v>35</v>
      </c>
      <c r="B36" t="s">
        <v>3376</v>
      </c>
      <c r="C36" t="s">
        <v>3377</v>
      </c>
      <c r="D36" s="2">
        <v>62</v>
      </c>
      <c r="E36" s="2">
        <v>7</v>
      </c>
      <c r="F36" s="3" t="str">
        <f>HYPERLINK("http://www.sah.co.rs/ssr-40aa-h.html?___store=serbian"," Pogledajte proizvod na sajtu -&gt;")</f>
        <v> Pogledajte proizvod na sajtu -&gt;</v>
      </c>
    </row>
    <row r="37" spans="1:6" ht="12.75">
      <c r="A37" s="2">
        <v>36</v>
      </c>
      <c r="B37" t="s">
        <v>3378</v>
      </c>
      <c r="C37" t="s">
        <v>3379</v>
      </c>
      <c r="D37" s="2">
        <v>66</v>
      </c>
      <c r="E37" s="2">
        <v>30</v>
      </c>
      <c r="F37" s="3" t="str">
        <f>HYPERLINK("http://www.sah.co.rs/zg33-340a.html?___store=serbian"," Pogledajte proizvod na sajtu -&gt;")</f>
        <v> Pogledajte proizvod na sajtu -&gt;</v>
      </c>
    </row>
    <row r="38" spans="1:6" ht="12.75">
      <c r="A38" s="2">
        <v>37</v>
      </c>
      <c r="B38" t="s">
        <v>3380</v>
      </c>
      <c r="C38" t="s">
        <v>3381</v>
      </c>
      <c r="D38" s="2">
        <v>48</v>
      </c>
      <c r="E38" s="2">
        <v>30</v>
      </c>
      <c r="F38" s="3" t="str">
        <f>HYPERLINK("http://www.sah.co.rs/ssr3-40aa-h.html?___store=serbian"," Pogledajte proizvod na sajtu -&gt;")</f>
        <v> Pogledajte proizvod na sajtu -&gt;</v>
      </c>
    </row>
    <row r="39" spans="1:6" ht="12.75">
      <c r="A39" s="2">
        <v>38</v>
      </c>
      <c r="B39" t="s">
        <v>3382</v>
      </c>
      <c r="C39" t="s">
        <v>3383</v>
      </c>
      <c r="D39" s="2">
        <v>29</v>
      </c>
      <c r="E39" s="2">
        <v>45</v>
      </c>
      <c r="F39" s="3" t="str">
        <f>HYPERLINK("http://www.sah.co.rs/zg33-360a.html?___store=serbian"," Pogledajte proizvod na sajtu -&gt;")</f>
        <v> Pogledajte proizvod na sajtu -&gt;</v>
      </c>
    </row>
    <row r="40" spans="1:6" ht="12.75">
      <c r="A40" s="2">
        <v>39</v>
      </c>
      <c r="B40" t="s">
        <v>3384</v>
      </c>
      <c r="C40" t="s">
        <v>3385</v>
      </c>
      <c r="D40" s="2">
        <v>85</v>
      </c>
      <c r="E40" s="2">
        <v>8</v>
      </c>
      <c r="F40" s="3" t="str">
        <f>HYPERLINK("http://www.sah.co.rs/zg3nc-325a.html?___store=serbian"," Pogledajte proizvod na sajtu -&gt;")</f>
        <v> Pogledajte proizvod na sajtu -&gt;</v>
      </c>
    </row>
    <row r="41" spans="1:6" ht="12.75">
      <c r="A41" s="2">
        <v>40</v>
      </c>
      <c r="B41" t="s">
        <v>3386</v>
      </c>
      <c r="C41" t="s">
        <v>3387</v>
      </c>
      <c r="D41" s="2">
        <v>911</v>
      </c>
      <c r="E41" s="2">
        <v>10</v>
      </c>
      <c r="F41" s="3" t="str">
        <f>HYPERLINK("http://www.sah.co.rs/zg3nc-340a.html?___store=serbian"," Pogledajte proizvod na sajtu -&gt;")</f>
        <v> Pogledajte proizvod na sajtu -&gt;</v>
      </c>
    </row>
    <row r="42" spans="1:6" ht="12.75">
      <c r="A42" s="2">
        <v>41</v>
      </c>
      <c r="B42" t="s">
        <v>3388</v>
      </c>
      <c r="C42" t="s">
        <v>3389</v>
      </c>
      <c r="D42" s="2">
        <v>85</v>
      </c>
      <c r="E42" s="2">
        <v>14</v>
      </c>
      <c r="F42" s="3" t="str">
        <f>HYPERLINK("http://www.sah.co.rs/zg3nc-360a.html?___store=serbian"," Pogledajte proizvod na sajtu -&gt;")</f>
        <v> Pogledajte proizvod na sajtu -&gt;</v>
      </c>
    </row>
    <row r="43" spans="1:6" ht="12.75">
      <c r="A43" s="2">
        <v>42</v>
      </c>
      <c r="B43" t="s">
        <v>3390</v>
      </c>
      <c r="C43" t="s">
        <v>3391</v>
      </c>
      <c r="D43" s="2">
        <v>0</v>
      </c>
      <c r="E43" s="2">
        <v>14</v>
      </c>
      <c r="F43" s="3" t="str">
        <f>HYPERLINK("http://www.sah.co.rs/zg3nc-380a.html?___store=serbian","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24.57421875" style="0" customWidth="1"/>
    <col min="3" max="3" width="84.281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3392</v>
      </c>
      <c r="C2" t="s">
        <v>3393</v>
      </c>
      <c r="D2" s="2">
        <v>28</v>
      </c>
      <c r="E2" s="2">
        <v>20</v>
      </c>
      <c r="F2" s="3" t="str">
        <f>HYPERLINK("http://www.sah.co.rs/servo-step-signal-generator.html?___store=serbian"," Pogledajte proizvod na sajtu -&gt;")</f>
        <v> Pogledajte proizvod na sajtu -&gt;</v>
      </c>
    </row>
    <row r="3" spans="1:6" ht="12.75">
      <c r="A3" s="2">
        <v>2</v>
      </c>
      <c r="B3" t="s">
        <v>3394</v>
      </c>
      <c r="C3" t="s">
        <v>3395</v>
      </c>
      <c r="D3" s="2">
        <v>50</v>
      </c>
      <c r="E3" s="2">
        <v>3</v>
      </c>
      <c r="F3" s="3" t="str">
        <f>HYPERLINK("http://www.sah.co.rs/lb65.html?___store=serbian"," Pogledajte proizvod na sajtu -&gt;")</f>
        <v> Pogledajte proizvod na sajtu -&gt;</v>
      </c>
    </row>
    <row r="4" spans="1:6" ht="12.75">
      <c r="A4" s="2">
        <v>3</v>
      </c>
      <c r="B4" t="s">
        <v>3396</v>
      </c>
      <c r="C4" t="s">
        <v>3397</v>
      </c>
      <c r="D4" s="2">
        <v>100</v>
      </c>
      <c r="E4" s="2">
        <v>8</v>
      </c>
      <c r="F4" s="3" t="str">
        <f>HYPERLINK("http://www.sah.co.rs/lb100.html?___store=serbian"," Pogledajte proizvod na sajtu -&gt;")</f>
        <v> Pogledajte proizvod na sajtu -&gt;</v>
      </c>
    </row>
    <row r="5" spans="1:6" ht="12.75">
      <c r="A5" s="2">
        <v>4</v>
      </c>
      <c r="B5" t="s">
        <v>3398</v>
      </c>
      <c r="C5" t="s">
        <v>3399</v>
      </c>
      <c r="D5" s="2">
        <v>10</v>
      </c>
      <c r="E5" s="2">
        <v>80</v>
      </c>
      <c r="F5" s="3" t="str">
        <f>HYPERLINK("http://www.sah.co.rs/mtpg2-5e2n.html?___store=serbian"," Pogledajte proizvod na sajtu -&gt;")</f>
        <v> Pogledajte proizvod na sajtu -&gt;</v>
      </c>
    </row>
    <row r="6" spans="1:6" ht="12.75">
      <c r="A6" s="2">
        <v>5</v>
      </c>
      <c r="B6" t="s">
        <v>3400</v>
      </c>
      <c r="C6" t="s">
        <v>3401</v>
      </c>
      <c r="D6" s="2">
        <v>65</v>
      </c>
      <c r="E6" s="2">
        <v>35</v>
      </c>
      <c r="F6" s="3" t="str">
        <f>HYPERLINK("http://www.sah.co.rs/tb6600-57byg250b.html?___store=serbian"," Pogledajte proizvod na sajtu -&gt;")</f>
        <v> Pogledajte proizvod na sajtu -&gt;</v>
      </c>
    </row>
    <row r="7" spans="1:6" ht="12.75">
      <c r="A7" s="2">
        <v>6</v>
      </c>
      <c r="B7" t="s">
        <v>3402</v>
      </c>
      <c r="C7" t="s">
        <v>3403</v>
      </c>
      <c r="D7" s="2">
        <v>33</v>
      </c>
      <c r="E7" s="2">
        <v>45</v>
      </c>
      <c r="F7" s="3" t="str">
        <f>HYPERLINK("http://www.sah.co.rs/tb6600-57byg250c.html?___store=serbian"," Pogledajte proizvod na sajtu -&gt;")</f>
        <v> Pogledajte proizvod na sajtu -&gt;</v>
      </c>
    </row>
    <row r="8" spans="1:6" ht="12.75">
      <c r="A8" s="2">
        <v>7</v>
      </c>
      <c r="B8" t="s">
        <v>3404</v>
      </c>
      <c r="C8" t="s">
        <v>3405</v>
      </c>
      <c r="D8" s="2">
        <v>1</v>
      </c>
      <c r="E8" s="2">
        <v>220</v>
      </c>
      <c r="F8" s="3" t="str">
        <f>HYPERLINK("http://www.sah.co.rs/hb3422-86byg350-156.html?___store=serbian"," Pogledajte proizvod na sajtu -&gt;")</f>
        <v> Pogledajte proizvod na sajtu -&gt;</v>
      </c>
    </row>
    <row r="9" spans="1:6" ht="12.75">
      <c r="A9" s="2">
        <v>8</v>
      </c>
      <c r="B9" t="s">
        <v>3406</v>
      </c>
      <c r="C9" t="s">
        <v>3407</v>
      </c>
      <c r="D9" s="2">
        <v>3</v>
      </c>
      <c r="E9" s="2">
        <v>120</v>
      </c>
      <c r="F9" s="3" t="str">
        <f>HYPERLINK("http://www.sah.co.rs/fdk-1200va.html?___store=serbian"," Pogledajte proizvod na sajtu -&gt;")</f>
        <v> Pogledajte proizvod na sajtu -&gt;</v>
      </c>
    </row>
    <row r="10" spans="1:6" ht="12.75">
      <c r="A10" s="2">
        <v>9</v>
      </c>
      <c r="B10" t="s">
        <v>3408</v>
      </c>
      <c r="C10" t="s">
        <v>3409</v>
      </c>
      <c r="D10" s="2">
        <v>13</v>
      </c>
      <c r="E10" s="2">
        <v>60</v>
      </c>
      <c r="F10" s="3" t="str">
        <f>HYPERLINK("http://www.sah.co.rs/dm860h.html?___store=serbian"," Pogledajte proizvod na sajtu -&gt;")</f>
        <v> Pogledajte proizvod na sajtu -&gt;</v>
      </c>
    </row>
    <row r="11" spans="1:6" ht="12.75">
      <c r="A11" s="2">
        <v>10</v>
      </c>
      <c r="B11" t="s">
        <v>3410</v>
      </c>
      <c r="C11" t="s">
        <v>3411</v>
      </c>
      <c r="D11" s="2">
        <v>70</v>
      </c>
      <c r="E11" s="2">
        <v>12.5</v>
      </c>
      <c r="F11" s="3" t="str">
        <f>HYPERLINK("http://www.sah.co.rs/tb6600.html?___store=serbian","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20.140625" style="0" customWidth="1"/>
    <col min="3" max="3" width="53.281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3412</v>
      </c>
      <c r="C2" t="s">
        <v>3413</v>
      </c>
      <c r="D2" s="2">
        <v>25</v>
      </c>
      <c r="E2" s="2">
        <v>30</v>
      </c>
      <c r="F2" s="3" t="str">
        <f>HYPERLINK("http://www.sah.co.rs/tab-au-0-500vac.html?___store=serbian"," Pogledajte proizvod na sajtu -&gt;")</f>
        <v> Pogledajte proizvod na sajtu -&gt;</v>
      </c>
    </row>
    <row r="3" spans="1:6" ht="12.75">
      <c r="A3" s="2">
        <v>2</v>
      </c>
      <c r="B3" t="s">
        <v>3414</v>
      </c>
      <c r="C3" t="s">
        <v>3415</v>
      </c>
      <c r="D3" s="2">
        <v>0</v>
      </c>
      <c r="E3" s="2">
        <v>35</v>
      </c>
      <c r="F3" s="3" t="str">
        <f>HYPERLINK("http://www.sah.co.rs/kek-ai1c1-0-100a.html?___store=serbian"," Pogledajte proizvod na sajtu -&gt;")</f>
        <v> Pogledajte proizvod na sajtu -&gt;</v>
      </c>
    </row>
    <row r="4" spans="1:6" ht="12.75">
      <c r="A4" s="2">
        <v>3</v>
      </c>
      <c r="B4" t="s">
        <v>3416</v>
      </c>
      <c r="C4" t="s">
        <v>3417</v>
      </c>
      <c r="D4" s="2">
        <v>35</v>
      </c>
      <c r="E4" s="2">
        <v>45</v>
      </c>
      <c r="F4" s="3" t="str">
        <f>HYPERLINK("http://www.sah.co.rs/ka-t21i-250a-0-250a.html?___store=serbian"," Pogledajte proizvod na sajtu -&gt;")</f>
        <v> Pogledajte proizvod na sajtu -&gt;</v>
      </c>
    </row>
    <row r="5" spans="1:6" ht="12.75">
      <c r="A5" s="2">
        <v>4</v>
      </c>
      <c r="B5" t="s">
        <v>3418</v>
      </c>
      <c r="C5" t="s">
        <v>3419</v>
      </c>
      <c r="D5" s="2">
        <v>18</v>
      </c>
      <c r="E5" s="2">
        <v>35</v>
      </c>
      <c r="F5" s="3" t="str">
        <f>HYPERLINK("http://www.sah.co.rs/tek-i1d1-0-30a.html?___store=serbian"," Pogledajte proizvod na sajtu -&gt;")</f>
        <v> Pogledajte proizvod na sajtu -&gt;</v>
      </c>
    </row>
    <row r="6" spans="1:6" ht="12.75">
      <c r="A6" s="2">
        <v>5</v>
      </c>
      <c r="B6" t="s">
        <v>3420</v>
      </c>
      <c r="C6" t="s">
        <v>3421</v>
      </c>
      <c r="D6" s="2">
        <v>20</v>
      </c>
      <c r="E6" s="2">
        <v>65</v>
      </c>
      <c r="F6" s="3" t="str">
        <f>HYPERLINK("http://www.sah.co.rs/ka-t21i-500a-0-500a.html?___store=serbian"," Pogledajte proizvod na sajtu -&gt;")</f>
        <v> Pogledajte proizvod na sajtu -&gt;</v>
      </c>
    </row>
    <row r="7" spans="1:6" ht="12.75">
      <c r="A7" s="2">
        <v>6</v>
      </c>
      <c r="B7" t="s">
        <v>3422</v>
      </c>
      <c r="C7" t="s">
        <v>3423</v>
      </c>
      <c r="D7" s="2">
        <v>6</v>
      </c>
      <c r="E7" s="2">
        <v>35</v>
      </c>
      <c r="F7" s="3" t="str">
        <f>HYPERLINK("http://www.sah.co.rs/kek-ai1b1-0-50a.html?___store=serbian"," Pogledajte proizvod na sajtu -&gt;")</f>
        <v> Pogledajte proizvod na sajtu -&gt;</v>
      </c>
    </row>
    <row r="8" spans="1:6" ht="12.75">
      <c r="A8" s="2">
        <v>7</v>
      </c>
      <c r="B8" t="s">
        <v>3424</v>
      </c>
      <c r="C8" t="s">
        <v>3425</v>
      </c>
      <c r="D8" s="2">
        <v>60</v>
      </c>
      <c r="E8" s="2">
        <v>30</v>
      </c>
      <c r="F8" s="3" t="str">
        <f>HYPERLINK("http://www.sah.co.rs/tab-ai-0-5a.html?___store=serbian","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6.7109375" style="0" customWidth="1"/>
    <col min="3" max="3" width="57.71093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214</v>
      </c>
      <c r="C2" t="s">
        <v>215</v>
      </c>
      <c r="D2" s="2">
        <v>9</v>
      </c>
      <c r="E2" s="2">
        <v>40</v>
      </c>
      <c r="F2" s="3" t="str">
        <f>HYPERLINK("http://www.sah.co.rs/czl660a-100kg.html?___store=serbian"," Pogledajte proizvod na sajtu -&gt;")</f>
        <v> Pogledajte proizvod na sajtu -&gt;</v>
      </c>
    </row>
    <row r="3" spans="1:6" ht="12.75">
      <c r="A3" s="2">
        <v>2</v>
      </c>
      <c r="B3" t="s">
        <v>216</v>
      </c>
      <c r="C3" t="s">
        <v>217</v>
      </c>
      <c r="D3" s="2">
        <v>13</v>
      </c>
      <c r="E3" s="2">
        <v>45</v>
      </c>
      <c r="F3" s="3" t="str">
        <f>HYPERLINK("http://www.sah.co.rs/czl628-100kg.html?___store=serbian"," Pogledajte proizvod na sajtu -&gt;")</f>
        <v> Pogledajte proizvod na sajtu -&gt;</v>
      </c>
    </row>
    <row r="4" spans="1:6" ht="12.75">
      <c r="A4" s="2">
        <v>3</v>
      </c>
      <c r="B4" t="s">
        <v>218</v>
      </c>
      <c r="C4" t="s">
        <v>217</v>
      </c>
      <c r="D4" s="2">
        <v>47</v>
      </c>
      <c r="E4" s="2">
        <v>20</v>
      </c>
      <c r="F4" s="3" t="str">
        <f>HYPERLINK("http://www.sah.co.rs/czl619-100kg.html?___store=serbian"," Pogledajte proizvod na sajtu -&gt;")</f>
        <v> Pogledajte proizvod na sajtu -&gt;</v>
      </c>
    </row>
    <row r="5" spans="1:6" ht="12.75">
      <c r="A5" s="2">
        <v>4</v>
      </c>
      <c r="B5" t="s">
        <v>219</v>
      </c>
      <c r="C5" t="s">
        <v>217</v>
      </c>
      <c r="D5" s="2">
        <v>354</v>
      </c>
      <c r="E5" s="2">
        <v>22</v>
      </c>
      <c r="F5" s="3" t="str">
        <f>HYPERLINK("http://www.sah.co.rs/czl642-100kg.html?___store=serbian"," Pogledajte proizvod na sajtu -&gt;")</f>
        <v> Pogledajte proizvod na sajtu -&gt;</v>
      </c>
    </row>
    <row r="6" spans="1:6" ht="12.75">
      <c r="A6" s="2">
        <v>5</v>
      </c>
      <c r="B6" t="s">
        <v>220</v>
      </c>
      <c r="C6" t="s">
        <v>217</v>
      </c>
      <c r="D6" s="2">
        <v>50</v>
      </c>
      <c r="E6" s="2">
        <v>10</v>
      </c>
      <c r="F6" s="3" t="str">
        <f>HYPERLINK("http://www.sah.co.rs/czl618-100kg.html?___store=serbian"," Pogledajte proizvod na sajtu -&gt;")</f>
        <v> Pogledajte proizvod na sajtu -&gt;</v>
      </c>
    </row>
    <row r="7" spans="1:6" ht="12.75">
      <c r="A7" s="2">
        <v>6</v>
      </c>
      <c r="B7" t="s">
        <v>221</v>
      </c>
      <c r="C7" t="s">
        <v>217</v>
      </c>
      <c r="D7" s="2">
        <v>34</v>
      </c>
      <c r="E7" s="2">
        <v>20</v>
      </c>
      <c r="F7" s="3" t="str">
        <f>HYPERLINK("http://www.sah.co.rs/czl623b-100kg.html?___store=serbian"," Pogledajte proizvod na sajtu -&gt;")</f>
        <v> Pogledajte proizvod na sajtu -&gt;</v>
      </c>
    </row>
    <row r="8" spans="1:6" ht="12.75">
      <c r="A8" s="2">
        <v>7</v>
      </c>
      <c r="B8" t="s">
        <v>222</v>
      </c>
      <c r="C8" t="s">
        <v>223</v>
      </c>
      <c r="D8" s="2">
        <v>13</v>
      </c>
      <c r="E8" s="2">
        <v>50</v>
      </c>
      <c r="F8" s="3" t="str">
        <f>HYPERLINK("http://www.sah.co.rs/czl302-100kg.html?___store=serbian"," Pogledajte proizvod na sajtu -&gt;")</f>
        <v> Pogledajte proizvod na sajtu -&gt;</v>
      </c>
    </row>
    <row r="9" spans="1:6" ht="12.75">
      <c r="A9" s="2">
        <v>8</v>
      </c>
      <c r="B9" t="s">
        <v>224</v>
      </c>
      <c r="C9" t="s">
        <v>223</v>
      </c>
      <c r="D9" s="2">
        <v>39</v>
      </c>
      <c r="E9" s="2">
        <v>50</v>
      </c>
      <c r="F9" s="3" t="str">
        <f>HYPERLINK("http://www.sah.co.rs/czl301-100kg.html?___store=serbian"," Pogledajte proizvod na sajtu -&gt;")</f>
        <v> Pogledajte proizvod na sajtu -&gt;</v>
      </c>
    </row>
    <row r="10" spans="1:6" ht="12.75">
      <c r="A10" s="2">
        <v>9</v>
      </c>
      <c r="B10" t="s">
        <v>225</v>
      </c>
      <c r="C10" t="s">
        <v>226</v>
      </c>
      <c r="D10" s="2">
        <v>7</v>
      </c>
      <c r="E10" s="2">
        <v>12</v>
      </c>
      <c r="F10" s="3" t="str">
        <f>HYPERLINK("http://www.sah.co.rs/czl602a-10kg.html?___store=serbian"," Pogledajte proizvod na sajtu -&gt;")</f>
        <v> Pogledajte proizvod na sajtu -&gt;</v>
      </c>
    </row>
    <row r="11" spans="1:6" ht="12.75">
      <c r="A11" s="2">
        <v>10</v>
      </c>
      <c r="B11" t="s">
        <v>227</v>
      </c>
      <c r="C11" t="s">
        <v>226</v>
      </c>
      <c r="D11" s="2">
        <v>59</v>
      </c>
      <c r="E11" s="2">
        <v>10</v>
      </c>
      <c r="F11" s="3" t="str">
        <f>HYPERLINK("http://www.sah.co.rs/czl618d-10kg.html?___store=serbian"," Pogledajte proizvod na sajtu -&gt;")</f>
        <v> Pogledajte proizvod na sajtu -&gt;</v>
      </c>
    </row>
    <row r="12" spans="1:6" ht="12.75">
      <c r="A12" s="2">
        <v>11</v>
      </c>
      <c r="B12" t="s">
        <v>228</v>
      </c>
      <c r="C12" t="s">
        <v>226</v>
      </c>
      <c r="D12" s="2">
        <v>102</v>
      </c>
      <c r="E12" s="2">
        <v>20</v>
      </c>
      <c r="F12" s="3" t="str">
        <f>HYPERLINK("http://www.sah.co.rs/czl623b-10kg.html?___store=serbian"," Pogledajte proizvod na sajtu -&gt;")</f>
        <v> Pogledajte proizvod na sajtu -&gt;</v>
      </c>
    </row>
    <row r="13" spans="1:6" ht="12.75">
      <c r="A13" s="2">
        <v>12</v>
      </c>
      <c r="B13" t="s">
        <v>229</v>
      </c>
      <c r="C13" t="s">
        <v>226</v>
      </c>
      <c r="D13" s="2">
        <v>64</v>
      </c>
      <c r="E13" s="2">
        <v>12</v>
      </c>
      <c r="F13" s="3" t="str">
        <f>HYPERLINK("http://www.sah.co.rs/czl602-10kg.html?___store=serbian"," Pogledajte proizvod na sajtu -&gt;")</f>
        <v> Pogledajte proizvod na sajtu -&gt;</v>
      </c>
    </row>
    <row r="14" spans="1:6" ht="12.75">
      <c r="A14" s="2">
        <v>13</v>
      </c>
      <c r="B14" t="s">
        <v>230</v>
      </c>
      <c r="C14" t="s">
        <v>226</v>
      </c>
      <c r="D14" s="2">
        <v>53</v>
      </c>
      <c r="E14" s="2">
        <v>13</v>
      </c>
      <c r="F14" s="3" t="str">
        <f>HYPERLINK("http://www.sah.co.rs/czl601-10kg.html?___store=serbian"," Pogledajte proizvod na sajtu -&gt;")</f>
        <v> Pogledajte proizvod na sajtu -&gt;</v>
      </c>
    </row>
    <row r="15" spans="1:6" ht="12.75">
      <c r="A15" s="2">
        <v>14</v>
      </c>
      <c r="B15" t="s">
        <v>231</v>
      </c>
      <c r="C15" t="s">
        <v>232</v>
      </c>
      <c r="D15" s="2">
        <v>11</v>
      </c>
      <c r="E15" s="2">
        <v>150</v>
      </c>
      <c r="F15" s="3" t="str">
        <f>HYPERLINK("http://www.sah.co.rs/czl803ka3-10t.html?___store=serbian"," Pogledajte proizvod na sajtu -&gt;")</f>
        <v> Pogledajte proizvod na sajtu -&gt;</v>
      </c>
    </row>
    <row r="16" spans="1:6" ht="12.75">
      <c r="A16" s="2">
        <v>15</v>
      </c>
      <c r="B16" t="s">
        <v>233</v>
      </c>
      <c r="C16" t="s">
        <v>234</v>
      </c>
      <c r="D16" s="2">
        <v>72</v>
      </c>
      <c r="E16" s="2">
        <v>12</v>
      </c>
      <c r="F16" s="3" t="str">
        <f>HYPERLINK("http://www.sah.co.rs/czl608-1kg.html?___store=serbian"," Pogledajte proizvod na sajtu -&gt;")</f>
        <v> Pogledajte proizvod na sajtu -&gt;</v>
      </c>
    </row>
    <row r="17" spans="1:6" ht="12.75">
      <c r="A17" s="2">
        <v>16</v>
      </c>
      <c r="B17" t="s">
        <v>235</v>
      </c>
      <c r="C17" t="s">
        <v>236</v>
      </c>
      <c r="D17" s="2">
        <v>12</v>
      </c>
      <c r="E17" s="2">
        <v>75</v>
      </c>
      <c r="F17" s="3" t="str">
        <f>HYPERLINK("http://www.sah.co.rs/czl803d-1t.html?___store=serbian"," Pogledajte proizvod na sajtu -&gt;")</f>
        <v> Pogledajte proizvod na sajtu -&gt;</v>
      </c>
    </row>
    <row r="18" spans="1:6" ht="12.75">
      <c r="A18" s="2">
        <v>17</v>
      </c>
      <c r="B18" t="s">
        <v>237</v>
      </c>
      <c r="C18" t="s">
        <v>238</v>
      </c>
      <c r="D18" s="2">
        <v>0</v>
      </c>
      <c r="E18" s="2">
        <v>75</v>
      </c>
      <c r="F18" s="3" t="str">
        <f>HYPERLINK("http://www.sah.co.rs/czl803kb3-1t.html?___store=serbian"," Pogledajte proizvod na sajtu -&gt;")</f>
        <v> Pogledajte proizvod na sajtu -&gt;</v>
      </c>
    </row>
    <row r="19" spans="1:6" ht="12.75">
      <c r="A19" s="2">
        <v>18</v>
      </c>
      <c r="B19" t="s">
        <v>239</v>
      </c>
      <c r="C19" t="s">
        <v>240</v>
      </c>
      <c r="D19" s="2">
        <v>18</v>
      </c>
      <c r="E19" s="2">
        <v>75</v>
      </c>
      <c r="F19" s="3" t="str">
        <f>HYPERLINK("http://www.sah.co.rs/czl312-1t.html?___store=serbian"," Pogledajte proizvod na sajtu -&gt;")</f>
        <v> Pogledajte proizvod na sajtu -&gt;</v>
      </c>
    </row>
    <row r="20" spans="1:6" ht="12.75">
      <c r="A20" s="2">
        <v>19</v>
      </c>
      <c r="B20" t="s">
        <v>241</v>
      </c>
      <c r="C20" t="s">
        <v>242</v>
      </c>
      <c r="D20" s="2">
        <v>49</v>
      </c>
      <c r="E20" s="2">
        <v>60</v>
      </c>
      <c r="F20" s="3" t="str">
        <f>HYPERLINK("http://www.sah.co.rs/dyx-301-200kg.html?___store=serbian"," Pogledajte proizvod na sajtu -&gt;")</f>
        <v> Pogledajte proizvod na sajtu -&gt;</v>
      </c>
    </row>
    <row r="21" spans="1:6" ht="12.75">
      <c r="A21" s="2">
        <v>20</v>
      </c>
      <c r="B21" t="s">
        <v>243</v>
      </c>
      <c r="C21" t="s">
        <v>244</v>
      </c>
      <c r="D21" s="2">
        <v>80</v>
      </c>
      <c r="E21" s="2">
        <v>22</v>
      </c>
      <c r="F21" s="3" t="str">
        <f>HYPERLINK("http://www.sah.co.rs/czl642-200kg.html?___store=serbian"," Pogledajte proizvod na sajtu -&gt;")</f>
        <v> Pogledajte proizvod na sajtu -&gt;</v>
      </c>
    </row>
    <row r="22" spans="1:6" ht="12.75">
      <c r="A22" s="2">
        <v>21</v>
      </c>
      <c r="B22" t="s">
        <v>245</v>
      </c>
      <c r="C22" t="s">
        <v>246</v>
      </c>
      <c r="D22" s="2">
        <v>9</v>
      </c>
      <c r="E22" s="2">
        <v>50</v>
      </c>
      <c r="F22" s="3" t="str">
        <f>HYPERLINK("http://www.sah.co.rs/czl302-200kg.html?___store=serbian"," Pogledajte proizvod na sajtu -&gt;")</f>
        <v> Pogledajte proizvod na sajtu -&gt;</v>
      </c>
    </row>
    <row r="23" spans="1:6" ht="12.75">
      <c r="A23" s="2">
        <v>22</v>
      </c>
      <c r="B23" t="s">
        <v>247</v>
      </c>
      <c r="C23" t="s">
        <v>246</v>
      </c>
      <c r="D23" s="2">
        <v>2</v>
      </c>
      <c r="E23" s="2">
        <v>50</v>
      </c>
      <c r="F23" s="3" t="str">
        <f>HYPERLINK("http://www.sah.co.rs/czl301-200kg.html?___store=serbian"," Pogledajte proizvod na sajtu -&gt;")</f>
        <v> Pogledajte proizvod na sajtu -&gt;</v>
      </c>
    </row>
    <row r="24" spans="1:6" ht="12.75">
      <c r="A24" s="2">
        <v>23</v>
      </c>
      <c r="B24" t="s">
        <v>248</v>
      </c>
      <c r="C24" t="s">
        <v>249</v>
      </c>
      <c r="D24" s="2">
        <v>43</v>
      </c>
      <c r="E24" s="2">
        <v>20</v>
      </c>
      <c r="F24" s="3" t="str">
        <f>HYPERLINK("http://www.sah.co.rs/czl619-20kg.html?___store=serbian"," Pogledajte proizvod na sajtu -&gt;")</f>
        <v> Pogledajte proizvod na sajtu -&gt;</v>
      </c>
    </row>
    <row r="25" spans="1:6" ht="12.75">
      <c r="A25" s="2">
        <v>24</v>
      </c>
      <c r="B25" t="s">
        <v>250</v>
      </c>
      <c r="C25" t="s">
        <v>249</v>
      </c>
      <c r="D25" s="2">
        <v>49</v>
      </c>
      <c r="E25" s="2">
        <v>13</v>
      </c>
      <c r="F25" s="3" t="str">
        <f>HYPERLINK("http://www.sah.co.rs/czl601-20kg.html?___store=serbian"," Pogledajte proizvod na sajtu -&gt;")</f>
        <v> Pogledajte proizvod na sajtu -&gt;</v>
      </c>
    </row>
    <row r="26" spans="1:6" ht="12.75">
      <c r="A26" s="2">
        <v>25</v>
      </c>
      <c r="B26" t="s">
        <v>251</v>
      </c>
      <c r="C26" t="s">
        <v>249</v>
      </c>
      <c r="D26" s="2">
        <v>47</v>
      </c>
      <c r="E26" s="2">
        <v>20</v>
      </c>
      <c r="F26" s="3" t="str">
        <f>HYPERLINK("http://www.sah.co.rs/czl623b-20kg.html?___store=serbian"," Pogledajte proizvod na sajtu -&gt;")</f>
        <v> Pogledajte proizvod na sajtu -&gt;</v>
      </c>
    </row>
    <row r="27" spans="1:6" ht="12.75">
      <c r="A27" s="2">
        <v>26</v>
      </c>
      <c r="B27" t="s">
        <v>252</v>
      </c>
      <c r="C27" t="s">
        <v>249</v>
      </c>
      <c r="D27" s="2">
        <v>75</v>
      </c>
      <c r="E27" s="2">
        <v>10</v>
      </c>
      <c r="F27" s="3" t="str">
        <f>HYPERLINK("http://www.sah.co.rs/czl618d-20kg.html?___store=serbian"," Pogledajte proizvod na sajtu -&gt;")</f>
        <v> Pogledajte proizvod na sajtu -&gt;</v>
      </c>
    </row>
    <row r="28" spans="1:6" ht="12.75">
      <c r="A28" s="2">
        <v>27</v>
      </c>
      <c r="B28" t="s">
        <v>253</v>
      </c>
      <c r="C28" t="s">
        <v>254</v>
      </c>
      <c r="D28" s="2">
        <v>12</v>
      </c>
      <c r="E28" s="2">
        <v>150</v>
      </c>
      <c r="F28" s="3" t="str">
        <f>HYPERLINK("http://www.sah.co.rs/czl110e-20t.html?___store=serbian"," Pogledajte proizvod na sajtu -&gt;")</f>
        <v> Pogledajte proizvod na sajtu -&gt;</v>
      </c>
    </row>
    <row r="29" spans="1:6" ht="12.75">
      <c r="A29" s="2">
        <v>28</v>
      </c>
      <c r="B29" t="s">
        <v>255</v>
      </c>
      <c r="C29" t="s">
        <v>256</v>
      </c>
      <c r="D29" s="2">
        <v>71</v>
      </c>
      <c r="E29" s="2">
        <v>12</v>
      </c>
      <c r="F29" s="3" t="str">
        <f>HYPERLINK("http://www.sah.co.rs/czl608-2kg.html?___store=serbian"," Pogledajte proizvod na sajtu -&gt;")</f>
        <v> Pogledajte proizvod na sajtu -&gt;</v>
      </c>
    </row>
    <row r="30" spans="1:6" ht="12.75">
      <c r="A30" s="2">
        <v>29</v>
      </c>
      <c r="B30" t="s">
        <v>257</v>
      </c>
      <c r="C30" t="s">
        <v>258</v>
      </c>
      <c r="D30" s="2">
        <v>21</v>
      </c>
      <c r="E30" s="2">
        <v>75</v>
      </c>
      <c r="F30" s="3" t="str">
        <f>HYPERLINK("http://www.sah.co.rs/czl803d-2t.html?___store=serbian"," Pogledajte proizvod na sajtu -&gt;")</f>
        <v> Pogledajte proizvod na sajtu -&gt;</v>
      </c>
    </row>
    <row r="31" spans="1:6" ht="12.75">
      <c r="A31" s="2">
        <v>30</v>
      </c>
      <c r="B31" t="s">
        <v>259</v>
      </c>
      <c r="C31" t="s">
        <v>260</v>
      </c>
      <c r="D31" s="2">
        <v>49</v>
      </c>
      <c r="E31" s="2">
        <v>75</v>
      </c>
      <c r="F31" s="3" t="str">
        <f>HYPERLINK("http://www.sah.co.rs/czl803kb3-2t.html?___store=serbian"," Pogledajte proizvod na sajtu -&gt;")</f>
        <v> Pogledajte proizvod na sajtu -&gt;</v>
      </c>
    </row>
    <row r="32" spans="1:6" ht="12.75">
      <c r="A32" s="2">
        <v>31</v>
      </c>
      <c r="B32" t="s">
        <v>261</v>
      </c>
      <c r="C32" t="s">
        <v>262</v>
      </c>
      <c r="D32" s="2">
        <v>21</v>
      </c>
      <c r="E32" s="2">
        <v>90</v>
      </c>
      <c r="F32" s="3" t="str">
        <f>HYPERLINK("http://www.sah.co.rs/czl312-2t.html?___store=serbian"," Pogledajte proizvod na sajtu -&gt;")</f>
        <v> Pogledajte proizvod na sajtu -&gt;</v>
      </c>
    </row>
    <row r="33" spans="1:6" ht="12.75">
      <c r="A33" s="2">
        <v>32</v>
      </c>
      <c r="B33" t="s">
        <v>263</v>
      </c>
      <c r="C33" t="s">
        <v>264</v>
      </c>
      <c r="D33" s="2">
        <v>27</v>
      </c>
      <c r="E33" s="2">
        <v>15</v>
      </c>
      <c r="F33" s="3" t="str">
        <f>HYPERLINK("http://www.sah.co.rs/czl608i-300g.html?___store=serbian"," Pogledajte proizvod na sajtu -&gt;")</f>
        <v> Pogledajte proizvod na sajtu -&gt;</v>
      </c>
    </row>
    <row r="34" spans="1:6" ht="12.75">
      <c r="A34" s="2">
        <v>33</v>
      </c>
      <c r="B34" t="s">
        <v>265</v>
      </c>
      <c r="C34" t="s">
        <v>266</v>
      </c>
      <c r="D34" s="2">
        <v>53</v>
      </c>
      <c r="E34" s="2">
        <v>22</v>
      </c>
      <c r="F34" s="3" t="str">
        <f>HYPERLINK("http://www.sah.co.rs/czl642-300kg.html?___store=serbian"," Pogledajte proizvod na sajtu -&gt;")</f>
        <v> Pogledajte proizvod na sajtu -&gt;</v>
      </c>
    </row>
    <row r="35" spans="1:6" ht="12.75">
      <c r="A35" s="2">
        <v>34</v>
      </c>
      <c r="B35" t="s">
        <v>267</v>
      </c>
      <c r="C35" t="s">
        <v>268</v>
      </c>
      <c r="D35" s="2">
        <v>33</v>
      </c>
      <c r="E35" s="2">
        <v>20</v>
      </c>
      <c r="F35" s="3" t="str">
        <f>HYPERLINK("http://www.sah.co.rs/czl619-30kg.html?___store=serbian"," Pogledajte proizvod na sajtu -&gt;")</f>
        <v> Pogledajte proizvod na sajtu -&gt;</v>
      </c>
    </row>
    <row r="36" spans="1:6" ht="12.75">
      <c r="A36" s="2">
        <v>35</v>
      </c>
      <c r="B36" t="s">
        <v>269</v>
      </c>
      <c r="C36" t="s">
        <v>268</v>
      </c>
      <c r="D36" s="2">
        <v>72</v>
      </c>
      <c r="E36" s="2">
        <v>10</v>
      </c>
      <c r="F36" s="3" t="str">
        <f>HYPERLINK("http://www.sah.co.rs/czl618d-30kg.html?___store=serbian"," Pogledajte proizvod na sajtu -&gt;")</f>
        <v> Pogledajte proizvod na sajtu -&gt;</v>
      </c>
    </row>
    <row r="37" spans="1:6" ht="12.75">
      <c r="A37" s="2">
        <v>36</v>
      </c>
      <c r="B37" t="s">
        <v>270</v>
      </c>
      <c r="C37" t="s">
        <v>271</v>
      </c>
      <c r="D37" s="2">
        <v>5</v>
      </c>
      <c r="E37" s="2">
        <v>200</v>
      </c>
      <c r="F37" s="3" t="str">
        <f>HYPERLINK("http://www.sah.co.rs/czl425-h-30t.html?___store=serbian"," Pogledajte proizvod na sajtu -&gt;")</f>
        <v> Pogledajte proizvod na sajtu -&gt;</v>
      </c>
    </row>
    <row r="38" spans="1:6" ht="12.75">
      <c r="A38" s="2">
        <v>37</v>
      </c>
      <c r="B38" t="s">
        <v>272</v>
      </c>
      <c r="C38" t="s">
        <v>273</v>
      </c>
      <c r="D38" s="2">
        <v>51</v>
      </c>
      <c r="E38" s="2">
        <v>12</v>
      </c>
      <c r="F38" s="3" t="str">
        <f>HYPERLINK("http://www.sah.co.rs/czl602a-3kg.html?___store=serbian"," Pogledajte proizvod na sajtu -&gt;")</f>
        <v> Pogledajte proizvod na sajtu -&gt;</v>
      </c>
    </row>
    <row r="39" spans="1:6" ht="12.75">
      <c r="A39" s="2">
        <v>38</v>
      </c>
      <c r="B39" t="s">
        <v>274</v>
      </c>
      <c r="C39" t="s">
        <v>273</v>
      </c>
      <c r="D39" s="2">
        <v>56</v>
      </c>
      <c r="E39" s="2">
        <v>12</v>
      </c>
      <c r="F39" s="3" t="str">
        <f>HYPERLINK("http://www.sah.co.rs/czl608-3kg.html?___store=serbian"," Pogledajte proizvod na sajtu -&gt;")</f>
        <v> Pogledajte proizvod na sajtu -&gt;</v>
      </c>
    </row>
    <row r="40" spans="1:6" ht="12.75">
      <c r="A40" s="2">
        <v>39</v>
      </c>
      <c r="B40" t="s">
        <v>275</v>
      </c>
      <c r="C40" t="s">
        <v>273</v>
      </c>
      <c r="D40" s="2">
        <v>16</v>
      </c>
      <c r="E40" s="2">
        <v>18</v>
      </c>
      <c r="F40" s="3" t="str">
        <f>HYPERLINK("http://www.sah.co.rs/czl605x-3kg.html?___store=serbian"," Pogledajte proizvod na sajtu -&gt;")</f>
        <v> Pogledajte proizvod na sajtu -&gt;</v>
      </c>
    </row>
    <row r="41" spans="1:6" ht="12.75">
      <c r="A41" s="2">
        <v>40</v>
      </c>
      <c r="B41" t="s">
        <v>276</v>
      </c>
      <c r="C41" t="s">
        <v>273</v>
      </c>
      <c r="D41" s="2">
        <v>74</v>
      </c>
      <c r="E41" s="2">
        <v>12</v>
      </c>
      <c r="F41" s="3" t="str">
        <f>HYPERLINK("http://www.sah.co.rs/czl602-3kg.html?___store=serbian"," Pogledajte proizvod na sajtu -&gt;")</f>
        <v> Pogledajte proizvod na sajtu -&gt;</v>
      </c>
    </row>
    <row r="42" spans="1:6" ht="12.75">
      <c r="A42" s="2">
        <v>41</v>
      </c>
      <c r="B42" t="s">
        <v>277</v>
      </c>
      <c r="C42" t="s">
        <v>273</v>
      </c>
      <c r="D42" s="2">
        <v>11</v>
      </c>
      <c r="E42" s="2">
        <v>13</v>
      </c>
      <c r="F42" s="3" t="str">
        <f>HYPERLINK("http://www.sah.co.rs/czl601-3kg.html?___store=serbian"," Pogledajte proizvod na sajtu -&gt;")</f>
        <v> Pogledajte proizvod na sajtu -&gt;</v>
      </c>
    </row>
    <row r="43" spans="1:6" ht="12.75">
      <c r="A43" s="2">
        <v>42</v>
      </c>
      <c r="B43" t="s">
        <v>278</v>
      </c>
      <c r="C43" t="s">
        <v>279</v>
      </c>
      <c r="D43" s="2">
        <v>10</v>
      </c>
      <c r="E43" s="2">
        <v>180</v>
      </c>
      <c r="F43" s="3" t="str">
        <f>HYPERLINK("http://www.sah.co.rs/czl111-3t.html?___store=serbian"," Pogledajte proizvod na sajtu -&gt;")</f>
        <v> Pogledajte proizvod na sajtu -&gt;</v>
      </c>
    </row>
    <row r="44" spans="1:6" ht="12.75">
      <c r="A44" s="2">
        <v>43</v>
      </c>
      <c r="B44" t="s">
        <v>280</v>
      </c>
      <c r="C44" t="s">
        <v>281</v>
      </c>
      <c r="D44" s="2">
        <v>31</v>
      </c>
      <c r="E44" s="2">
        <v>90</v>
      </c>
      <c r="F44" s="3" t="str">
        <f>HYPERLINK("http://www.sah.co.rs/czl803kb3-3t.html?___store=serbian"," Pogledajte proizvod na sajtu -&gt;")</f>
        <v> Pogledajte proizvod na sajtu -&gt;</v>
      </c>
    </row>
    <row r="45" spans="1:6" ht="12.75">
      <c r="A45" s="2">
        <v>44</v>
      </c>
      <c r="B45" t="s">
        <v>282</v>
      </c>
      <c r="C45" t="s">
        <v>283</v>
      </c>
      <c r="D45" s="2">
        <v>33</v>
      </c>
      <c r="E45" s="2">
        <v>20</v>
      </c>
      <c r="F45" s="3" t="str">
        <f>HYPERLINK("http://www.sah.co.rs/czl619-40kg.html?___store=serbian"," Pogledajte proizvod na sajtu -&gt;")</f>
        <v> Pogledajte proizvod na sajtu -&gt;</v>
      </c>
    </row>
    <row r="46" spans="1:6" ht="12.75">
      <c r="A46" s="2">
        <v>45</v>
      </c>
      <c r="B46" t="s">
        <v>284</v>
      </c>
      <c r="C46" t="s">
        <v>285</v>
      </c>
      <c r="D46" s="2">
        <v>10</v>
      </c>
      <c r="E46" s="2">
        <v>150</v>
      </c>
      <c r="F46" s="3" t="str">
        <f>HYPERLINK("http://www.sah.co.rs/czl110e-40t.html?___store=serbian"," Pogledajte proizvod na sajtu -&gt;")</f>
        <v> Pogledajte proizvod na sajtu -&gt;</v>
      </c>
    </row>
    <row r="47" spans="1:6" ht="12.75">
      <c r="A47" s="2">
        <v>46</v>
      </c>
      <c r="B47" t="s">
        <v>286</v>
      </c>
      <c r="C47" t="s">
        <v>287</v>
      </c>
      <c r="D47" s="2">
        <v>34</v>
      </c>
      <c r="E47" s="2">
        <v>12</v>
      </c>
      <c r="F47" s="3" t="str">
        <f>HYPERLINK("http://www.sah.co.rs/czl608-500g.html?___store=serbian"," Pogledajte proizvod na sajtu -&gt;")</f>
        <v> Pogledajte proizvod na sajtu -&gt;</v>
      </c>
    </row>
    <row r="48" spans="1:6" ht="12.75">
      <c r="A48" s="2">
        <v>47</v>
      </c>
      <c r="B48" t="s">
        <v>288</v>
      </c>
      <c r="C48" t="s">
        <v>289</v>
      </c>
      <c r="D48" s="2">
        <v>34</v>
      </c>
      <c r="E48" s="2">
        <v>22</v>
      </c>
      <c r="F48" s="3" t="str">
        <f>HYPERLINK("http://www.sah.co.rs/czl642-500kg.html?___store=serbian"," Pogledajte proizvod na sajtu -&gt;")</f>
        <v> Pogledajte proizvod na sajtu -&gt;</v>
      </c>
    </row>
    <row r="49" spans="1:6" ht="12.75">
      <c r="A49" s="2">
        <v>48</v>
      </c>
      <c r="B49" t="s">
        <v>290</v>
      </c>
      <c r="C49" t="s">
        <v>289</v>
      </c>
      <c r="D49" s="2">
        <v>7</v>
      </c>
      <c r="E49" s="2">
        <v>45</v>
      </c>
      <c r="F49" s="3" t="str">
        <f>HYPERLINK("http://www.sah.co.rs/czl628-500kg.html?___store=serbian"," Pogledajte proizvod na sajtu -&gt;")</f>
        <v> Pogledajte proizvod na sajtu -&gt;</v>
      </c>
    </row>
    <row r="50" spans="1:6" ht="12.75">
      <c r="A50" s="2">
        <v>49</v>
      </c>
      <c r="B50" t="s">
        <v>291</v>
      </c>
      <c r="C50" t="s">
        <v>292</v>
      </c>
      <c r="D50" s="2">
        <v>18</v>
      </c>
      <c r="E50" s="2">
        <v>75</v>
      </c>
      <c r="F50" s="3" t="str">
        <f>HYPERLINK("http://www.sah.co.rs/czl803d-500kg.html?___store=serbian"," Pogledajte proizvod na sajtu -&gt;")</f>
        <v> Pogledajte proizvod na sajtu -&gt;</v>
      </c>
    </row>
    <row r="51" spans="1:6" ht="12.75">
      <c r="A51" s="2">
        <v>50</v>
      </c>
      <c r="B51" t="s">
        <v>293</v>
      </c>
      <c r="C51" t="s">
        <v>294</v>
      </c>
      <c r="D51" s="2">
        <v>40</v>
      </c>
      <c r="E51" s="2">
        <v>75</v>
      </c>
      <c r="F51" s="3" t="str">
        <f>HYPERLINK("http://www.sah.co.rs/czl803kb3-500kg.html?___store=serbian"," Pogledajte proizvod na sajtu -&gt;")</f>
        <v> Pogledajte proizvod na sajtu -&gt;</v>
      </c>
    </row>
    <row r="52" spans="1:6" ht="12.75">
      <c r="A52" s="2">
        <v>51</v>
      </c>
      <c r="B52" t="s">
        <v>295</v>
      </c>
      <c r="C52" t="s">
        <v>296</v>
      </c>
      <c r="D52" s="2">
        <v>14</v>
      </c>
      <c r="E52" s="2">
        <v>70</v>
      </c>
      <c r="F52" s="3" t="str">
        <f>HYPERLINK("http://www.sah.co.rs/czl301-500kg.html?___store=serbian"," Pogledajte proizvod na sajtu -&gt;")</f>
        <v> Pogledajte proizvod na sajtu -&gt;</v>
      </c>
    </row>
    <row r="53" spans="1:6" ht="12.75">
      <c r="A53" s="2">
        <v>52</v>
      </c>
      <c r="B53" t="s">
        <v>297</v>
      </c>
      <c r="C53" t="s">
        <v>298</v>
      </c>
      <c r="D53" s="2">
        <v>9</v>
      </c>
      <c r="E53" s="2">
        <v>40</v>
      </c>
      <c r="F53" s="3" t="str">
        <f>HYPERLINK("http://www.sah.co.rs/czl660a-50kg.html?___store=serbian"," Pogledajte proizvod na sajtu -&gt;")</f>
        <v> Pogledajte proizvod na sajtu -&gt;</v>
      </c>
    </row>
    <row r="54" spans="1:6" ht="12.75">
      <c r="A54" s="2">
        <v>53</v>
      </c>
      <c r="B54" t="s">
        <v>299</v>
      </c>
      <c r="C54" t="s">
        <v>300</v>
      </c>
      <c r="D54" s="2">
        <v>134</v>
      </c>
      <c r="E54" s="2">
        <v>3</v>
      </c>
      <c r="F54" s="3" t="str">
        <f>HYPERLINK("http://www.sah.co.rs/czl929b-50kg.html?___store=serbian"," Pogledajte proizvod na sajtu -&gt;")</f>
        <v> Pogledajte proizvod na sajtu -&gt;</v>
      </c>
    </row>
    <row r="55" spans="1:6" ht="12.75">
      <c r="A55" s="2">
        <v>54</v>
      </c>
      <c r="B55" t="s">
        <v>301</v>
      </c>
      <c r="C55" t="s">
        <v>302</v>
      </c>
      <c r="D55" s="2">
        <v>73</v>
      </c>
      <c r="E55" s="2">
        <v>10</v>
      </c>
      <c r="F55" s="3" t="str">
        <f>HYPERLINK("http://www.sah.co.rs/czl618d-50kg.html?___store=serbian"," Pogledajte proizvod na sajtu -&gt;")</f>
        <v> Pogledajte proizvod na sajtu -&gt;</v>
      </c>
    </row>
    <row r="56" spans="1:6" ht="12.75">
      <c r="A56" s="2">
        <v>55</v>
      </c>
      <c r="B56" t="s">
        <v>303</v>
      </c>
      <c r="C56" t="s">
        <v>302</v>
      </c>
      <c r="D56" s="2">
        <v>11</v>
      </c>
      <c r="E56" s="2">
        <v>20</v>
      </c>
      <c r="F56" s="3" t="str">
        <f>HYPERLINK("http://www.sah.co.rs/czl619-50kg.html?___store=serbian"," Pogledajte proizvod na sajtu -&gt;")</f>
        <v> Pogledajte proizvod na sajtu -&gt;</v>
      </c>
    </row>
    <row r="57" spans="1:6" ht="12.75">
      <c r="A57" s="2">
        <v>56</v>
      </c>
      <c r="B57" t="s">
        <v>304</v>
      </c>
      <c r="C57" t="s">
        <v>302</v>
      </c>
      <c r="D57" s="2">
        <v>44</v>
      </c>
      <c r="E57" s="2">
        <v>20</v>
      </c>
      <c r="F57" s="3" t="str">
        <f>HYPERLINK("http://www.sah.co.rs/czl650-50kg.html?___store=serbian"," Pogledajte proizvod na sajtu -&gt;")</f>
        <v> Pogledajte proizvod na sajtu -&gt;</v>
      </c>
    </row>
    <row r="58" spans="1:6" ht="12.75">
      <c r="A58" s="2">
        <v>57</v>
      </c>
      <c r="B58" t="s">
        <v>305</v>
      </c>
      <c r="C58" t="s">
        <v>302</v>
      </c>
      <c r="D58" s="2">
        <v>15</v>
      </c>
      <c r="E58" s="2">
        <v>20</v>
      </c>
      <c r="F58" s="3" t="str">
        <f>HYPERLINK("http://www.sah.co.rs/czl623b-50kg.html?___store=serbian"," Pogledajte proizvod na sajtu -&gt;")</f>
        <v> Pogledajte proizvod na sajtu -&gt;</v>
      </c>
    </row>
    <row r="59" spans="1:6" ht="12.75">
      <c r="A59" s="2">
        <v>58</v>
      </c>
      <c r="B59" t="s">
        <v>306</v>
      </c>
      <c r="C59" t="s">
        <v>307</v>
      </c>
      <c r="D59" s="2">
        <v>38</v>
      </c>
      <c r="E59" s="2">
        <v>10</v>
      </c>
      <c r="F59" s="3" t="str">
        <f>HYPERLINK("http://www.sah.co.rs/czl618d-5kg.html?___store=serbian"," Pogledajte proizvod na sajtu -&gt;")</f>
        <v> Pogledajte proizvod na sajtu -&gt;</v>
      </c>
    </row>
    <row r="60" spans="1:6" ht="12.75">
      <c r="A60" s="2">
        <v>59</v>
      </c>
      <c r="B60" t="s">
        <v>308</v>
      </c>
      <c r="C60" t="s">
        <v>307</v>
      </c>
      <c r="D60" s="2">
        <v>18</v>
      </c>
      <c r="E60" s="2">
        <v>12</v>
      </c>
      <c r="F60" s="3" t="str">
        <f>HYPERLINK("http://www.sah.co.rs/czl608-5kg.html?___store=serbian"," Pogledajte proizvod na sajtu -&gt;")</f>
        <v> Pogledajte proizvod na sajtu -&gt;</v>
      </c>
    </row>
    <row r="61" spans="1:6" ht="12.75">
      <c r="A61" s="2">
        <v>60</v>
      </c>
      <c r="B61" t="s">
        <v>309</v>
      </c>
      <c r="C61" t="s">
        <v>307</v>
      </c>
      <c r="D61" s="2">
        <v>46</v>
      </c>
      <c r="E61" s="2">
        <v>12</v>
      </c>
      <c r="F61" s="3" t="str">
        <f>HYPERLINK("http://www.sah.co.rs/czl602-5kg.html?___store=serbian"," Pogledajte proizvod na sajtu -&gt;")</f>
        <v> Pogledajte proizvod na sajtu -&gt;</v>
      </c>
    </row>
    <row r="62" spans="1:6" ht="12.75">
      <c r="A62" s="2">
        <v>61</v>
      </c>
      <c r="B62" t="s">
        <v>310</v>
      </c>
      <c r="C62" t="s">
        <v>307</v>
      </c>
      <c r="D62" s="2">
        <v>40</v>
      </c>
      <c r="E62" s="2">
        <v>13</v>
      </c>
      <c r="F62" s="3" t="str">
        <f>HYPERLINK("http://www.sah.co.rs/czl601-5kg.html?___store=serbian"," Pogledajte proizvod na sajtu -&gt;")</f>
        <v> Pogledajte proizvod na sajtu -&gt;</v>
      </c>
    </row>
    <row r="63" spans="1:6" ht="12.75">
      <c r="A63" s="2">
        <v>62</v>
      </c>
      <c r="B63" t="s">
        <v>311</v>
      </c>
      <c r="C63" t="s">
        <v>307</v>
      </c>
      <c r="D63" s="2">
        <v>22</v>
      </c>
      <c r="E63" s="2">
        <v>12</v>
      </c>
      <c r="F63" s="3" t="str">
        <f>HYPERLINK("http://www.sah.co.rs/czl602a-5kg.html?___store=serbian"," Pogledajte proizvod na sajtu -&gt;")</f>
        <v> Pogledajte proizvod na sajtu -&gt;</v>
      </c>
    </row>
    <row r="64" spans="1:6" ht="12.75">
      <c r="A64" s="2">
        <v>63</v>
      </c>
      <c r="B64" t="s">
        <v>312</v>
      </c>
      <c r="C64" t="s">
        <v>313</v>
      </c>
      <c r="D64" s="2">
        <v>9</v>
      </c>
      <c r="E64" s="2">
        <v>180</v>
      </c>
      <c r="F64" s="3" t="str">
        <f>HYPERLINK("http://www.sah.co.rs/czl111-5t.html?___store=serbian"," Pogledajte proizvod na sajtu -&gt;")</f>
        <v> Pogledajte proizvod na sajtu -&gt;</v>
      </c>
    </row>
    <row r="65" spans="1:6" ht="12.75">
      <c r="A65" s="2">
        <v>64</v>
      </c>
      <c r="B65" t="s">
        <v>314</v>
      </c>
      <c r="C65" t="s">
        <v>315</v>
      </c>
      <c r="D65" s="2">
        <v>53</v>
      </c>
      <c r="E65" s="2">
        <v>100</v>
      </c>
      <c r="F65" s="3" t="str">
        <f>HYPERLINK("http://www.sah.co.rs/czl803kb3-5t.html?___store=serbian"," Pogledajte proizvod na sajtu -&gt;")</f>
        <v> Pogledajte proizvod na sajtu -&gt;</v>
      </c>
    </row>
    <row r="66" spans="1:6" ht="12.75">
      <c r="A66" s="2">
        <v>65</v>
      </c>
      <c r="B66" t="s">
        <v>316</v>
      </c>
      <c r="C66" t="s">
        <v>317</v>
      </c>
      <c r="D66" s="2">
        <v>12</v>
      </c>
      <c r="E66" s="2">
        <v>100</v>
      </c>
      <c r="F66" s="3" t="str">
        <f>HYPERLINK("http://www.sah.co.rs/czl312-5t.html?___store=serbian","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4.421875" style="0" customWidth="1"/>
    <col min="3" max="3" width="25.574218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3426</v>
      </c>
      <c r="C2" t="s">
        <v>3427</v>
      </c>
      <c r="D2" s="2">
        <v>50</v>
      </c>
      <c r="E2" s="2">
        <v>5</v>
      </c>
      <c r="F2" s="3" t="str">
        <f>HYPERLINK("http://www.sah.co.rs/msq-30-100-5a.html?___store=serbian"," Pogledajte proizvod na sajtu -&gt;")</f>
        <v> Pogledajte proizvod na sajtu -&gt;</v>
      </c>
    </row>
    <row r="3" spans="1:6" ht="12.75">
      <c r="A3" s="2">
        <v>2</v>
      </c>
      <c r="B3" t="s">
        <v>3428</v>
      </c>
      <c r="C3" t="s">
        <v>3429</v>
      </c>
      <c r="D3" s="2">
        <v>15</v>
      </c>
      <c r="E3" s="2">
        <v>5</v>
      </c>
      <c r="F3" s="3" t="str">
        <f>HYPERLINK("http://www.sah.co.rs/msq-30-150-5a.html?___store=serbian"," Pogledajte proizvod na sajtu -&gt;")</f>
        <v> Pogledajte proizvod na sajtu -&gt;</v>
      </c>
    </row>
    <row r="4" spans="1:6" ht="12.75">
      <c r="A4" s="2">
        <v>3</v>
      </c>
      <c r="B4" t="s">
        <v>3430</v>
      </c>
      <c r="C4" t="s">
        <v>3431</v>
      </c>
      <c r="D4" s="2">
        <v>43</v>
      </c>
      <c r="E4" s="2">
        <v>5</v>
      </c>
      <c r="F4" s="3" t="str">
        <f>HYPERLINK("http://www.sah.co.rs/msq-30-200-5a.html?___store=serbian"," Pogledajte proizvod na sajtu -&gt;")</f>
        <v> Pogledajte proizvod na sajtu -&gt;</v>
      </c>
    </row>
    <row r="5" spans="1:6" ht="12.75">
      <c r="A5" s="2">
        <v>4</v>
      </c>
      <c r="B5" t="s">
        <v>3432</v>
      </c>
      <c r="C5" t="s">
        <v>3433</v>
      </c>
      <c r="D5" s="2">
        <v>29</v>
      </c>
      <c r="E5" s="2">
        <v>5</v>
      </c>
      <c r="F5" s="3" t="str">
        <f aca="true" t="shared" si="0" ref="F5:F6">HYPERLINK("http://www.sah.co.rs/msq-30-250-5a.html?___store=serbian"," Pogledajte proizvod na sajtu -&gt;")</f>
        <v> Pogledajte proizvod na sajtu -&gt;</v>
      </c>
    </row>
    <row r="6" spans="1:6" ht="12.75">
      <c r="A6" s="2">
        <v>5</v>
      </c>
      <c r="B6" t="s">
        <v>3432</v>
      </c>
      <c r="C6" t="s">
        <v>3433</v>
      </c>
      <c r="D6" s="2">
        <v>73</v>
      </c>
      <c r="E6" s="2">
        <v>5</v>
      </c>
      <c r="F6" s="3" t="str">
        <f t="shared" si="0"/>
        <v> Pogledajte proizvod na sajtu -&gt;</v>
      </c>
    </row>
    <row r="7" spans="1:6" ht="12.75">
      <c r="A7" s="2">
        <v>6</v>
      </c>
      <c r="B7" t="s">
        <v>3434</v>
      </c>
      <c r="C7" t="s">
        <v>3435</v>
      </c>
      <c r="D7" s="2">
        <v>0</v>
      </c>
      <c r="E7" s="2">
        <v>5</v>
      </c>
      <c r="F7" s="3" t="str">
        <f>HYPERLINK("http://www.sah.co.rs/msq-30-30-5a.html?___store=serbian"," Pogledajte proizvod na sajtu -&gt;")</f>
        <v> Pogledajte proizvod na sajtu -&gt;</v>
      </c>
    </row>
    <row r="8" spans="1:6" ht="12.75">
      <c r="A8" s="2">
        <v>7</v>
      </c>
      <c r="B8" t="s">
        <v>3436</v>
      </c>
      <c r="C8" t="s">
        <v>3437</v>
      </c>
      <c r="D8" s="2">
        <v>33</v>
      </c>
      <c r="E8" s="2">
        <v>5</v>
      </c>
      <c r="F8" s="3" t="str">
        <f>HYPERLINK("http://www.sah.co.rs/msq-30-300-5a.html?___store=serbian"," Pogledajte proizvod na sajtu -&gt;")</f>
        <v> Pogledajte proizvod na sajtu -&gt;</v>
      </c>
    </row>
    <row r="9" spans="1:6" ht="12.75">
      <c r="A9" s="2">
        <v>8</v>
      </c>
      <c r="B9" t="s">
        <v>3438</v>
      </c>
      <c r="C9" t="s">
        <v>3439</v>
      </c>
      <c r="D9" s="2">
        <v>66</v>
      </c>
      <c r="E9" s="2">
        <v>5</v>
      </c>
      <c r="F9" s="3" t="str">
        <f>HYPERLINK("http://www.sah.co.rs/msq-30-40-5a.html?___store=serbian"," Pogledajte proizvod na sajtu -&gt;")</f>
        <v> Pogledajte proizvod na sajtu -&gt;</v>
      </c>
    </row>
    <row r="10" spans="1:6" ht="12.75">
      <c r="A10" s="2">
        <v>9</v>
      </c>
      <c r="B10" t="s">
        <v>3440</v>
      </c>
      <c r="C10" t="s">
        <v>3441</v>
      </c>
      <c r="D10" s="2">
        <v>64</v>
      </c>
      <c r="E10" s="2">
        <v>5</v>
      </c>
      <c r="F10" s="3" t="str">
        <f>HYPERLINK("http://www.sah.co.rs/msq-30-50-5a.html?___store=serbian","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9.7109375" style="0" customWidth="1"/>
    <col min="3" max="3" width="68.574218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3442</v>
      </c>
      <c r="C2" t="s">
        <v>3443</v>
      </c>
      <c r="D2" s="2">
        <v>321</v>
      </c>
      <c r="E2" s="2">
        <v>0.8</v>
      </c>
      <c r="F2" s="3" t="str">
        <f>HYPERLINK("http://www.sah.co.rs/mc48.html?___store=serbian"," Pogledajte proizvod na sajtu -&gt;")</f>
        <v> Pogledajte proizvod na sajtu -&gt;</v>
      </c>
    </row>
    <row r="3" spans="1:6" ht="12.75">
      <c r="A3" s="2">
        <v>2</v>
      </c>
      <c r="B3" t="s">
        <v>3444</v>
      </c>
      <c r="C3" t="s">
        <v>3445</v>
      </c>
      <c r="D3" s="2">
        <v>45</v>
      </c>
      <c r="E3" s="2">
        <v>15</v>
      </c>
      <c r="F3" s="3" t="str">
        <f>HYPERLINK("http://www.sah.co.rs/h7et-8t-fbv.html?___store=serbian"," Pogledajte proizvod na sajtu -&gt;")</f>
        <v> Pogledajte proizvod na sajtu -&gt;</v>
      </c>
    </row>
    <row r="4" spans="1:6" ht="12.75">
      <c r="A4" s="2">
        <v>3</v>
      </c>
      <c r="B4" t="s">
        <v>3446</v>
      </c>
      <c r="C4" t="s">
        <v>3447</v>
      </c>
      <c r="D4" s="2">
        <v>61</v>
      </c>
      <c r="E4" s="2">
        <v>14</v>
      </c>
      <c r="F4" s="3" t="str">
        <f>HYPERLINK("http://www.sah.co.rs/dhc19m.html?___store=serbian"," Pogledajte proizvod na sajtu -&gt;")</f>
        <v> Pogledajte proizvod na sajtu -&gt;</v>
      </c>
    </row>
    <row r="5" spans="1:6" ht="12.75">
      <c r="A5" s="2">
        <v>4</v>
      </c>
      <c r="B5" t="s">
        <v>3448</v>
      </c>
      <c r="C5" t="s">
        <v>3449</v>
      </c>
      <c r="D5" s="2">
        <v>82</v>
      </c>
      <c r="E5" s="2">
        <v>18</v>
      </c>
      <c r="F5" s="3" t="str">
        <f>HYPERLINK("http://www.sah.co.rs/dhc8a-1a.html?___store=serbian"," Pogledajte proizvod na sajtu -&gt;")</f>
        <v> Pogledajte proizvod na sajtu -&gt;</v>
      </c>
    </row>
    <row r="6" spans="1:6" ht="12.75">
      <c r="A6" s="2">
        <v>5</v>
      </c>
      <c r="B6" t="s">
        <v>3450</v>
      </c>
      <c r="C6" t="s">
        <v>3449</v>
      </c>
      <c r="D6" s="2">
        <v>77</v>
      </c>
      <c r="E6" s="2">
        <v>18</v>
      </c>
      <c r="F6" s="3" t="str">
        <f>HYPERLINK("http://www.sah.co.rs/dhc15a.html?___store=serbian"," Pogledajte proizvod na sajtu -&gt;")</f>
        <v> Pogledajte proizvod na sajtu -&gt;</v>
      </c>
    </row>
    <row r="7" spans="1:6" ht="12.75">
      <c r="A7" s="2">
        <v>6</v>
      </c>
      <c r="B7" t="s">
        <v>3451</v>
      </c>
      <c r="C7" t="s">
        <v>3452</v>
      </c>
      <c r="D7" s="2">
        <v>100</v>
      </c>
      <c r="E7" s="2">
        <v>12</v>
      </c>
      <c r="F7" s="3" t="str">
        <f>HYPERLINK("http://www.sah.co.rs/st3pr-220vac.html?___store=serbian"," Pogledajte proizvod na sajtu -&gt;")</f>
        <v> Pogledajte proizvod na sajtu -&gt;</v>
      </c>
    </row>
    <row r="8" spans="1:6" ht="12.75">
      <c r="A8" s="2">
        <v>7</v>
      </c>
      <c r="B8" t="s">
        <v>3453</v>
      </c>
      <c r="C8" t="s">
        <v>3454</v>
      </c>
      <c r="D8" s="2">
        <v>50</v>
      </c>
      <c r="E8" s="2">
        <v>12</v>
      </c>
      <c r="F8" s="3" t="str">
        <f>HYPERLINK("http://www.sah.co.rs/st3pr-24vdc.html?___store=serbian"," Pogledajte proizvod na sajtu -&gt;")</f>
        <v> Pogledajte proizvod na sajtu -&gt;</v>
      </c>
    </row>
    <row r="9" spans="1:6" ht="12.75">
      <c r="A9" s="2">
        <v>8</v>
      </c>
      <c r="B9" t="s">
        <v>3455</v>
      </c>
      <c r="C9" t="s">
        <v>3456</v>
      </c>
      <c r="D9" s="2">
        <v>49</v>
      </c>
      <c r="E9" s="2">
        <v>10</v>
      </c>
      <c r="F9" s="3" t="str">
        <f>HYPERLINK("http://www.sah.co.rs/astdv-y-04.html?___store=serbian"," Pogledajte proizvod na sajtu -&gt;")</f>
        <v> Pogledajte proizvod na sajtu -&gt;</v>
      </c>
    </row>
    <row r="10" spans="1:6" ht="12.75">
      <c r="A10" s="2">
        <v>9</v>
      </c>
      <c r="B10" t="s">
        <v>3457</v>
      </c>
      <c r="C10" t="s">
        <v>3458</v>
      </c>
      <c r="D10" s="2">
        <v>24</v>
      </c>
      <c r="E10" s="2">
        <v>10</v>
      </c>
      <c r="F10" s="3" t="str">
        <f>HYPERLINK("http://www.sah.co.rs/astdv-y-02.html?___store=serbian"," Pogledajte proizvod na sajtu -&gt;")</f>
        <v> Pogledajte proizvod na sajtu -&gt;</v>
      </c>
    </row>
    <row r="11" spans="1:6" ht="12.75">
      <c r="A11" s="2">
        <v>10</v>
      </c>
      <c r="B11" t="s">
        <v>3459</v>
      </c>
      <c r="C11" t="s">
        <v>3460</v>
      </c>
      <c r="D11" s="2">
        <v>26</v>
      </c>
      <c r="E11" s="2">
        <v>10</v>
      </c>
      <c r="F11" s="3" t="str">
        <f>HYPERLINK("http://www.sah.co.rs/astdv-y-01.html?___store=serbian"," Pogledajte proizvod na sajtu -&gt;")</f>
        <v> Pogledajte proizvod na sajtu -&gt;</v>
      </c>
    </row>
    <row r="12" spans="1:6" ht="12.75">
      <c r="A12" s="2">
        <v>11</v>
      </c>
      <c r="B12" t="s">
        <v>3461</v>
      </c>
      <c r="C12" t="s">
        <v>3462</v>
      </c>
      <c r="D12" s="2">
        <v>203</v>
      </c>
      <c r="E12" s="2">
        <v>20</v>
      </c>
      <c r="F12" s="3" t="str">
        <f>HYPERLINK("http://www.sah.co.rs/dh48s-s-220v-ac-dc.html?___store=serbian"," Pogledajte proizvod na sajtu -&gt;")</f>
        <v> Pogledajte proizvod na sajtu -&gt;</v>
      </c>
    </row>
    <row r="13" spans="1:6" ht="12.75">
      <c r="A13" s="2">
        <v>12</v>
      </c>
      <c r="B13" t="s">
        <v>3463</v>
      </c>
      <c r="C13" t="s">
        <v>3464</v>
      </c>
      <c r="D13" s="2">
        <v>271</v>
      </c>
      <c r="E13" s="2">
        <v>20</v>
      </c>
      <c r="F13" s="3" t="str">
        <f>HYPERLINK("http://www.sah.co.rs/dh48s-s-220vac.html?___store=serbian"," Pogledajte proizvod na sajtu -&gt;")</f>
        <v> Pogledajte proizvod na sajtu -&gt;</v>
      </c>
    </row>
    <row r="14" spans="1:6" ht="12.75">
      <c r="A14" s="2">
        <v>13</v>
      </c>
      <c r="B14" t="s">
        <v>3465</v>
      </c>
      <c r="C14" t="s">
        <v>3464</v>
      </c>
      <c r="D14" s="2">
        <v>39</v>
      </c>
      <c r="E14" s="2">
        <v>40</v>
      </c>
      <c r="F14" s="3" t="str">
        <f>HYPERLINK("http://www.sah.co.rs/hp4-rb40w.html?___store=serbian"," Pogledajte proizvod na sajtu -&gt;")</f>
        <v> Pogledajte proizvod na sajtu -&gt;</v>
      </c>
    </row>
    <row r="15" spans="1:6" ht="12.75">
      <c r="A15" s="2">
        <v>14</v>
      </c>
      <c r="B15" t="s">
        <v>3466</v>
      </c>
      <c r="C15" t="s">
        <v>3467</v>
      </c>
      <c r="D15" s="2">
        <v>63</v>
      </c>
      <c r="E15" s="2">
        <v>14</v>
      </c>
      <c r="F15" s="3" t="str">
        <f>HYPERLINK("http://www.sah.co.rs/dhc19s-s.html?___store=serbian"," Pogledajte proizvod na sajtu -&gt;")</f>
        <v> Pogledajte proizvod na sajtu -&gt;</v>
      </c>
    </row>
    <row r="16" spans="1:6" ht="12.75">
      <c r="A16" s="2">
        <v>15</v>
      </c>
      <c r="B16" t="s">
        <v>3468</v>
      </c>
      <c r="C16" t="s">
        <v>3469</v>
      </c>
      <c r="D16" s="2">
        <v>36</v>
      </c>
      <c r="E16" s="2">
        <v>20</v>
      </c>
      <c r="F16" s="3" t="str">
        <f>HYPERLINK("http://www.sah.co.rs/dh48s-s-24vdc.html?___store=serbian"," Pogledajte proizvod na sajtu -&gt;")</f>
        <v> Pogledajte proizvod na sajtu -&gt;</v>
      </c>
    </row>
    <row r="17" spans="1:6" ht="12.75">
      <c r="A17" s="2">
        <v>16</v>
      </c>
      <c r="B17" t="s">
        <v>3470</v>
      </c>
      <c r="C17" t="s">
        <v>3471</v>
      </c>
      <c r="D17" s="2">
        <v>46</v>
      </c>
      <c r="E17" s="2">
        <v>17</v>
      </c>
      <c r="F17" s="3" t="str">
        <f>HYPERLINK("http://www.sah.co.rs/h3cr-a11-220v.html?___store=serbian"," Pogledajte proizvod na sajtu -&gt;")</f>
        <v> Pogledajte proizvod na sajtu -&gt;</v>
      </c>
    </row>
    <row r="18" spans="1:6" ht="12.75">
      <c r="A18" s="2">
        <v>17</v>
      </c>
      <c r="B18" t="s">
        <v>3472</v>
      </c>
      <c r="C18" t="s">
        <v>3473</v>
      </c>
      <c r="D18" s="2">
        <v>51</v>
      </c>
      <c r="E18" s="2">
        <v>10</v>
      </c>
      <c r="F18" s="3" t="str">
        <f>HYPERLINK("http://www.sah.co.rs/asm8-a-ac-10s.html?___store=serbian"," Pogledajte proizvod na sajtu -&gt;")</f>
        <v> Pogledajte proizvod na sajtu -&gt;</v>
      </c>
    </row>
    <row r="19" spans="1:6" ht="12.75">
      <c r="A19" s="2">
        <v>18</v>
      </c>
      <c r="B19" t="s">
        <v>3474</v>
      </c>
      <c r="C19" t="s">
        <v>3475</v>
      </c>
      <c r="D19" s="2">
        <v>48</v>
      </c>
      <c r="E19" s="2">
        <v>10</v>
      </c>
      <c r="F19" s="3" t="str">
        <f>HYPERLINK("http://www.sah.co.rs/asm8-a-dc-10s.html?___store=serbian"," Pogledajte proizvod na sajtu -&gt;")</f>
        <v> Pogledajte proizvod na sajtu -&gt;</v>
      </c>
    </row>
    <row r="20" spans="1:6" ht="12.75">
      <c r="A20" s="2">
        <v>19</v>
      </c>
      <c r="B20" t="s">
        <v>3476</v>
      </c>
      <c r="C20" t="s">
        <v>3477</v>
      </c>
      <c r="D20" s="2">
        <v>49</v>
      </c>
      <c r="E20" s="2">
        <v>12</v>
      </c>
      <c r="F20" s="3" t="str">
        <f>HYPERLINK("http://www.sah.co.rs/tkb2e230a-10s.html?___store=serbian"," Pogledajte proizvod na sajtu -&gt;")</f>
        <v> Pogledajte proizvod na sajtu -&gt;</v>
      </c>
    </row>
    <row r="21" spans="1:6" ht="12.75">
      <c r="A21" s="2">
        <v>20</v>
      </c>
      <c r="B21" t="s">
        <v>3478</v>
      </c>
      <c r="C21" t="s">
        <v>3479</v>
      </c>
      <c r="D21" s="2">
        <v>33</v>
      </c>
      <c r="E21" s="2">
        <v>12</v>
      </c>
      <c r="F21" s="3" t="str">
        <f>HYPERLINK("http://www.sah.co.rs/tkb2e24d-10s.html?___store=serbian"," Pogledajte proizvod na sajtu -&gt;")</f>
        <v> Pogledajte proizvod na sajtu -&gt;</v>
      </c>
    </row>
    <row r="22" spans="1:6" ht="12.75">
      <c r="A22" s="2">
        <v>21</v>
      </c>
      <c r="B22" t="s">
        <v>3480</v>
      </c>
      <c r="C22" t="s">
        <v>3481</v>
      </c>
      <c r="D22" s="2">
        <v>45</v>
      </c>
      <c r="E22" s="2">
        <v>6</v>
      </c>
      <c r="F22" s="3" t="str">
        <f>HYPERLINK("http://www.sah.co.rs/as3y-2z-ac-10s.html?___store=serbian"," Pogledajte proizvod na sajtu -&gt;")</f>
        <v> Pogledajte proizvod na sajtu -&gt;</v>
      </c>
    </row>
    <row r="23" spans="1:6" ht="12.75">
      <c r="A23" s="2">
        <v>22</v>
      </c>
      <c r="B23" t="s">
        <v>3482</v>
      </c>
      <c r="C23" t="s">
        <v>3483</v>
      </c>
      <c r="D23" s="2">
        <v>40</v>
      </c>
      <c r="E23" s="2">
        <v>6</v>
      </c>
      <c r="F23" s="3" t="str">
        <f>HYPERLINK("http://www.sah.co.rs/as3y-2z-dc-10s.html?___store=serbian"," Pogledajte proizvod na sajtu -&gt;")</f>
        <v> Pogledajte proizvod na sajtu -&gt;</v>
      </c>
    </row>
    <row r="24" spans="1:6" ht="12.75">
      <c r="A24" s="2">
        <v>23</v>
      </c>
      <c r="B24" t="s">
        <v>3484</v>
      </c>
      <c r="C24" t="s">
        <v>3485</v>
      </c>
      <c r="D24" s="2">
        <v>75</v>
      </c>
      <c r="E24" s="2">
        <v>12</v>
      </c>
      <c r="F24" s="3" t="str">
        <f>HYPERLINK("http://www.sah.co.rs/tkb2b230a-10s.html?___store=serbian"," Pogledajte proizvod na sajtu -&gt;")</f>
        <v> Pogledajte proizvod na sajtu -&gt;</v>
      </c>
    </row>
    <row r="25" spans="1:6" ht="12.75">
      <c r="A25" s="2">
        <v>24</v>
      </c>
      <c r="B25" t="s">
        <v>3486</v>
      </c>
      <c r="C25" t="s">
        <v>3487</v>
      </c>
      <c r="D25" s="2">
        <v>26</v>
      </c>
      <c r="E25" s="2">
        <v>12</v>
      </c>
      <c r="F25" s="3" t="str">
        <f>HYPERLINK("http://www.sah.co.rs/tkb2b24d-10s.html?___store=serbian"," Pogledajte proizvod na sajtu -&gt;")</f>
        <v> Pogledajte proizvod na sajtu -&gt;</v>
      </c>
    </row>
    <row r="26" spans="1:6" ht="12.75">
      <c r="A26" s="2">
        <v>25</v>
      </c>
      <c r="B26" t="s">
        <v>3488</v>
      </c>
      <c r="C26" t="s">
        <v>3489</v>
      </c>
      <c r="D26" s="2">
        <v>53</v>
      </c>
      <c r="E26" s="2">
        <v>10</v>
      </c>
      <c r="F26" s="3" t="str">
        <f>HYPERLINK("http://www.sah.co.rs/ash3-na-b-a-ac.html?___store=serbian"," Pogledajte proizvod na sajtu -&gt;")</f>
        <v> Pogledajte proizvod na sajtu -&gt;</v>
      </c>
    </row>
    <row r="27" spans="1:6" ht="12.75">
      <c r="A27" s="2">
        <v>26</v>
      </c>
      <c r="B27" t="s">
        <v>3490</v>
      </c>
      <c r="C27" t="s">
        <v>3491</v>
      </c>
      <c r="D27" s="2">
        <v>27</v>
      </c>
      <c r="E27" s="2">
        <v>10</v>
      </c>
      <c r="F27" s="3" t="str">
        <f>HYPERLINK("http://www.sah.co.rs/ash3-na-b-a-dc.html?___store=serbian"," Pogledajte proizvod na sajtu -&gt;")</f>
        <v> Pogledajte proizvod na sajtu -&gt;</v>
      </c>
    </row>
    <row r="28" spans="1:6" ht="12.75">
      <c r="A28" s="2">
        <v>27</v>
      </c>
      <c r="B28" t="s">
        <v>3492</v>
      </c>
      <c r="C28" t="s">
        <v>3493</v>
      </c>
      <c r="D28" s="2">
        <v>91</v>
      </c>
      <c r="E28" s="2">
        <v>10</v>
      </c>
      <c r="F28" s="3" t="str">
        <f>HYPERLINK("http://www.sah.co.rs/asm8-a-ac-30s.html?___store=serbian"," Pogledajte proizvod na sajtu -&gt;")</f>
        <v> Pogledajte proizvod na sajtu -&gt;</v>
      </c>
    </row>
    <row r="29" spans="1:6" ht="12.75">
      <c r="A29" s="2">
        <v>28</v>
      </c>
      <c r="B29" t="s">
        <v>3494</v>
      </c>
      <c r="C29" t="s">
        <v>3495</v>
      </c>
      <c r="D29" s="2">
        <v>47</v>
      </c>
      <c r="E29" s="2">
        <v>10</v>
      </c>
      <c r="F29" s="3" t="str">
        <f>HYPERLINK("http://www.sah.co.rs/asm8-a-dc-30s.html?___store=serbian"," Pogledajte proizvod na sajtu -&gt;")</f>
        <v> Pogledajte proizvod na sajtu -&gt;</v>
      </c>
    </row>
    <row r="30" spans="1:6" ht="12.75">
      <c r="A30" s="2">
        <v>29</v>
      </c>
      <c r="B30" t="s">
        <v>3496</v>
      </c>
      <c r="C30" t="s">
        <v>3497</v>
      </c>
      <c r="D30" s="2">
        <v>45</v>
      </c>
      <c r="E30" s="2">
        <v>6</v>
      </c>
      <c r="F30" s="3" t="str">
        <f>HYPERLINK("http://www.sah.co.rs/as3y-2z-ac-30s.html?___store=serbian"," Pogledajte proizvod na sajtu -&gt;")</f>
        <v> Pogledajte proizvod na sajtu -&gt;</v>
      </c>
    </row>
    <row r="31" spans="1:6" ht="12.75">
      <c r="A31" s="2">
        <v>30</v>
      </c>
      <c r="B31" t="s">
        <v>3498</v>
      </c>
      <c r="C31" t="s">
        <v>3499</v>
      </c>
      <c r="D31" s="2">
        <v>45</v>
      </c>
      <c r="E31" s="2">
        <v>6</v>
      </c>
      <c r="F31" s="3" t="str">
        <f>HYPERLINK("http://www.sah.co.rs/as3y-2z-dc-30s.html?___store=serbian"," Pogledajte proizvod na sajtu -&gt;")</f>
        <v> Pogledajte proizvod na sajtu -&gt;</v>
      </c>
    </row>
    <row r="32" spans="1:6" ht="12.75">
      <c r="A32" s="2">
        <v>31</v>
      </c>
      <c r="B32" t="s">
        <v>3500</v>
      </c>
      <c r="C32" t="s">
        <v>3501</v>
      </c>
      <c r="D32" s="2">
        <v>22</v>
      </c>
      <c r="E32" s="2">
        <v>10</v>
      </c>
      <c r="F32" s="3" t="str">
        <f>HYPERLINK("http://www.sah.co.rs/ash3-na-b-b-ac.html?___store=serbian"," Pogledajte proizvod na sajtu -&gt;")</f>
        <v> Pogledajte proizvod na sajtu -&gt;</v>
      </c>
    </row>
    <row r="33" spans="1:6" ht="12.75">
      <c r="A33" s="2">
        <v>32</v>
      </c>
      <c r="B33" t="s">
        <v>3502</v>
      </c>
      <c r="C33" t="s">
        <v>3503</v>
      </c>
      <c r="D33" s="2">
        <v>28</v>
      </c>
      <c r="E33" s="2">
        <v>10</v>
      </c>
      <c r="F33" s="3" t="str">
        <f>HYPERLINK("http://www.sah.co.rs/ash3-na-b-b-dc.html?___store=serbian"," Pogledajte proizvod na sajtu -&gt;")</f>
        <v> Pogledajte proizvod na sajtu -&gt;</v>
      </c>
    </row>
    <row r="34" spans="1:6" ht="12.75">
      <c r="A34" s="2">
        <v>33</v>
      </c>
      <c r="B34" t="s">
        <v>3504</v>
      </c>
      <c r="C34" t="s">
        <v>3505</v>
      </c>
      <c r="D34" s="2">
        <v>87</v>
      </c>
      <c r="E34" s="2">
        <v>10</v>
      </c>
      <c r="F34" s="3" t="str">
        <f>HYPERLINK("http://www.sah.co.rs/asm8-a-ac-60s.html?___store=serbian"," Pogledajte proizvod na sajtu -&gt;")</f>
        <v> Pogledajte proizvod na sajtu -&gt;</v>
      </c>
    </row>
    <row r="35" spans="1:6" ht="12.75">
      <c r="A35" s="2">
        <v>34</v>
      </c>
      <c r="B35" t="s">
        <v>3506</v>
      </c>
      <c r="C35" t="s">
        <v>3507</v>
      </c>
      <c r="D35" s="2">
        <v>40</v>
      </c>
      <c r="E35" s="2">
        <v>10</v>
      </c>
      <c r="F35" s="3" t="str">
        <f>HYPERLINK("http://www.sah.co.rs/asm8-a-dc-60s.html?___store=serbian"," Pogledajte proizvod na sajtu -&gt;")</f>
        <v> Pogledajte proizvod na sajtu -&gt;</v>
      </c>
    </row>
    <row r="36" spans="1:6" ht="12.75">
      <c r="A36" s="2">
        <v>35</v>
      </c>
      <c r="B36" t="s">
        <v>3508</v>
      </c>
      <c r="C36" t="s">
        <v>3509</v>
      </c>
      <c r="D36" s="2">
        <v>95</v>
      </c>
      <c r="E36" s="2">
        <v>12</v>
      </c>
      <c r="F36" s="3" t="str">
        <f>HYPERLINK("http://www.sah.co.rs/tkb2e230a-60s.html?___store=serbian"," Pogledajte proizvod na sajtu -&gt;")</f>
        <v> Pogledajte proizvod na sajtu -&gt;</v>
      </c>
    </row>
    <row r="37" spans="1:6" ht="12.75">
      <c r="A37" s="2">
        <v>36</v>
      </c>
      <c r="B37" t="s">
        <v>3510</v>
      </c>
      <c r="C37" t="s">
        <v>3511</v>
      </c>
      <c r="D37" s="2">
        <v>30</v>
      </c>
      <c r="E37" s="2">
        <v>15</v>
      </c>
      <c r="F37" s="3" t="str">
        <f>HYPERLINK("http://www.sah.co.rs/tkb2e24d-60s.html?___store=serbian"," Pogledajte proizvod na sajtu -&gt;")</f>
        <v> Pogledajte proizvod na sajtu -&gt;</v>
      </c>
    </row>
    <row r="38" spans="1:6" ht="12.75">
      <c r="A38" s="2">
        <v>37</v>
      </c>
      <c r="B38" t="s">
        <v>3512</v>
      </c>
      <c r="C38" t="s">
        <v>3513</v>
      </c>
      <c r="D38" s="2">
        <v>50</v>
      </c>
      <c r="E38" s="2">
        <v>6</v>
      </c>
      <c r="F38" s="3" t="str">
        <f>HYPERLINK("http://www.sah.co.rs/as3y-2z-ac-60s.html?___store=serbian"," Pogledajte proizvod na sajtu -&gt;")</f>
        <v> Pogledajte proizvod na sajtu -&gt;</v>
      </c>
    </row>
    <row r="39" spans="1:6" ht="12.75">
      <c r="A39" s="2">
        <v>38</v>
      </c>
      <c r="B39" t="s">
        <v>3514</v>
      </c>
      <c r="C39" t="s">
        <v>3515</v>
      </c>
      <c r="D39" s="2">
        <v>188</v>
      </c>
      <c r="E39" s="2">
        <v>6</v>
      </c>
      <c r="F39" s="3" t="str">
        <f>HYPERLINK("http://www.sah.co.rs/as3y-2z-dc-60s.html?___store=serbian"," Pogledajte proizvod na sajtu -&gt;")</f>
        <v> Pogledajte proizvod na sajtu -&gt;</v>
      </c>
    </row>
    <row r="40" spans="1:6" ht="12.75">
      <c r="A40" s="2">
        <v>39</v>
      </c>
      <c r="B40" t="s">
        <v>3516</v>
      </c>
      <c r="C40" t="s">
        <v>3517</v>
      </c>
      <c r="D40" s="2">
        <v>95</v>
      </c>
      <c r="E40" s="2">
        <v>12</v>
      </c>
      <c r="F40" s="3" t="str">
        <f>HYPERLINK("http://www.sah.co.rs/tkb2b230a-60s.html?___store=serbian"," Pogledajte proizvod na sajtu -&gt;")</f>
        <v> Pogledajte proizvod na sajtu -&gt;</v>
      </c>
    </row>
    <row r="41" spans="1:6" ht="12.75">
      <c r="A41" s="2">
        <v>40</v>
      </c>
      <c r="B41" t="s">
        <v>3518</v>
      </c>
      <c r="C41" t="s">
        <v>3519</v>
      </c>
      <c r="D41" s="2">
        <v>30</v>
      </c>
      <c r="E41" s="2">
        <v>15</v>
      </c>
      <c r="F41" s="3" t="str">
        <f>HYPERLINK("http://www.sah.co.rs/tkb2b24d-60s.html?___store=serbian"," Pogledajte proizvod na sajtu -&gt;")</f>
        <v> Pogledajte proizvod na sajtu -&gt;</v>
      </c>
    </row>
    <row r="42" spans="1:6" ht="12.75">
      <c r="A42" s="2">
        <v>41</v>
      </c>
      <c r="B42" t="s">
        <v>3520</v>
      </c>
      <c r="C42" t="s">
        <v>3521</v>
      </c>
      <c r="D42" s="2">
        <v>70</v>
      </c>
      <c r="E42" s="2">
        <v>10</v>
      </c>
      <c r="F42" s="3" t="str">
        <f>HYPERLINK("http://www.sah.co.rs/ash3-na-b-c-ac.html?___store=serbian"," Pogledajte proizvod na sajtu -&gt;")</f>
        <v> Pogledajte proizvod na sajtu -&gt;</v>
      </c>
    </row>
    <row r="43" spans="1:6" ht="12.75">
      <c r="A43" s="2">
        <v>42</v>
      </c>
      <c r="B43" t="s">
        <v>3522</v>
      </c>
      <c r="C43" t="s">
        <v>3523</v>
      </c>
      <c r="D43" s="2">
        <v>44</v>
      </c>
      <c r="E43" s="2">
        <v>10</v>
      </c>
      <c r="F43" s="3" t="str">
        <f>HYPERLINK("http://www.sah.co.rs/ash3-na-b-c-dc.html?___store=serbian"," Pogledajte proizvod na sajtu -&gt;")</f>
        <v> Pogledajte proizvod na sajtu -&gt;</v>
      </c>
    </row>
    <row r="44" spans="1:6" ht="12.75">
      <c r="A44" s="2">
        <v>43</v>
      </c>
      <c r="B44" t="s">
        <v>3524</v>
      </c>
      <c r="C44" t="s">
        <v>3525</v>
      </c>
      <c r="D44" s="2">
        <v>30</v>
      </c>
      <c r="E44" s="2">
        <v>30</v>
      </c>
      <c r="F44" s="3" t="str">
        <f>HYPERLINK("http://www.sah.co.rs/dhc9j-ln-220v.html?___store=serbian"," Pogledajte proizvod na sajtu -&gt;")</f>
        <v> Pogledajte proizvod na sajtu -&gt;</v>
      </c>
    </row>
    <row r="45" spans="1:6" ht="12.75">
      <c r="A45" s="2">
        <v>44</v>
      </c>
      <c r="B45" t="s">
        <v>3526</v>
      </c>
      <c r="C45" t="s">
        <v>3527</v>
      </c>
      <c r="D45" s="2">
        <v>16</v>
      </c>
      <c r="E45" s="2">
        <v>30</v>
      </c>
      <c r="F45" s="3" t="str">
        <f>HYPERLINK("http://www.sah.co.rs/dhc9j-ln-24v.html?___store=serbian"," Pogledajte proizvod na sajtu -&gt;")</f>
        <v> Pogledajte proizvod na sajtu -&gt;</v>
      </c>
    </row>
    <row r="46" spans="1:6" ht="12.75">
      <c r="A46" s="2">
        <v>45</v>
      </c>
      <c r="B46" t="s">
        <v>3528</v>
      </c>
      <c r="C46" t="s">
        <v>3529</v>
      </c>
      <c r="D46" s="2">
        <v>155</v>
      </c>
      <c r="E46" s="2">
        <v>15</v>
      </c>
      <c r="F46" s="3" t="str">
        <f>HYPERLINK("http://www.sah.co.rs/tc-pro2400.html?___store=serbian"," Pogledajte proizvod na sajtu -&gt;")</f>
        <v> Pogledajte proizvod na sajtu -&gt;</v>
      </c>
    </row>
    <row r="47" spans="1:6" ht="12.75">
      <c r="A47" s="2">
        <v>46</v>
      </c>
      <c r="B47" t="s">
        <v>3530</v>
      </c>
      <c r="C47" t="s">
        <v>3531</v>
      </c>
      <c r="D47" s="2">
        <v>85</v>
      </c>
      <c r="E47" s="2">
        <v>15</v>
      </c>
      <c r="F47" s="3" t="str">
        <f>HYPERLINK("http://www.sah.co.rs/dhc3l-6.html?___store=serbian"," Pogledajte proizvod na sajtu -&gt;")</f>
        <v> Pogledajte proizvod na sajtu -&gt;</v>
      </c>
    </row>
    <row r="48" spans="1:6" ht="12.75">
      <c r="A48" s="2">
        <v>47</v>
      </c>
      <c r="B48" t="s">
        <v>3532</v>
      </c>
      <c r="C48" t="s">
        <v>3533</v>
      </c>
      <c r="D48" s="2">
        <v>2</v>
      </c>
      <c r="E48" s="2">
        <v>21</v>
      </c>
      <c r="F48" s="3" t="str">
        <f>HYPERLINK("http://www.sah.co.rs/dhc48-220v-ac-dc.html?___store=serbian"," Pogledajte proizvod na sajtu -&gt;")</f>
        <v> Pogledajte proizvod na sajtu -&gt;</v>
      </c>
    </row>
    <row r="49" spans="1:6" ht="12.75">
      <c r="A49" s="2">
        <v>48</v>
      </c>
      <c r="B49" t="s">
        <v>3534</v>
      </c>
      <c r="C49" t="s">
        <v>3535</v>
      </c>
      <c r="D49" s="2">
        <v>101</v>
      </c>
      <c r="E49" s="2">
        <v>12</v>
      </c>
      <c r="F49" s="3" t="str">
        <f>HYPERLINK("http://www.sah.co.rs/tc-01.html?___store=serbian"," Pogledajte proizvod na sajtu -&gt;")</f>
        <v> Pogledajte proizvod na sajtu -&gt;</v>
      </c>
    </row>
    <row r="50" spans="1:6" ht="12.75">
      <c r="A50" s="2">
        <v>49</v>
      </c>
      <c r="B50" t="s">
        <v>3536</v>
      </c>
      <c r="C50" t="s">
        <v>3535</v>
      </c>
      <c r="D50" s="2">
        <v>74</v>
      </c>
      <c r="E50" s="2">
        <v>15</v>
      </c>
      <c r="F50" s="3" t="str">
        <f>HYPERLINK("http://www.sah.co.rs/ch48s.html?___store=serbian"," Pogledajte proizvod na sajtu -&gt;")</f>
        <v> Pogledajte proizvod na sajtu -&gt;</v>
      </c>
    </row>
    <row r="51" spans="1:6" ht="12.75">
      <c r="A51" s="2">
        <v>50</v>
      </c>
      <c r="B51" t="s">
        <v>3537</v>
      </c>
      <c r="C51" t="s">
        <v>3538</v>
      </c>
      <c r="D51" s="2">
        <v>51</v>
      </c>
      <c r="E51" s="2">
        <v>21</v>
      </c>
      <c r="F51" s="3" t="str">
        <f>HYPERLINK("http://www.sah.co.rs/dhc48-24v-ac-dc.html?___store=serbian"," Pogledajte proizvod na sajtu -&gt;")</f>
        <v> Pogledajte proizvod na sajtu -&gt;</v>
      </c>
    </row>
    <row r="52" spans="1:6" ht="12.75">
      <c r="A52" s="2">
        <v>51</v>
      </c>
      <c r="B52" t="s">
        <v>3539</v>
      </c>
      <c r="C52" t="s">
        <v>3540</v>
      </c>
      <c r="D52" s="2">
        <v>79</v>
      </c>
      <c r="E52" s="2">
        <v>10</v>
      </c>
      <c r="F52" s="3" t="str">
        <f>HYPERLINK("http://www.sah.co.rs/dhc19-2e-ac.html?___store=serbian"," Pogledajte proizvod na sajtu -&gt;")</f>
        <v> Pogledajte proizvod na sajtu -&gt;</v>
      </c>
    </row>
    <row r="53" spans="1:6" ht="12.75">
      <c r="A53" s="2">
        <v>52</v>
      </c>
      <c r="B53" t="s">
        <v>3541</v>
      </c>
      <c r="C53" t="s">
        <v>3542</v>
      </c>
      <c r="D53" s="2">
        <v>1</v>
      </c>
      <c r="E53" s="2">
        <v>10</v>
      </c>
      <c r="F53" s="3" t="str">
        <f>HYPERLINK("http://www.sah.co.rs/dhc19-2e-dc.html?___store=serbian"," Pogledajte proizvod na sajtu -&gt;")</f>
        <v> Pogledajte proizvod na sajtu -&gt;</v>
      </c>
    </row>
    <row r="54" spans="1:6" ht="12.75">
      <c r="A54" s="2">
        <v>53</v>
      </c>
      <c r="B54" t="s">
        <v>3543</v>
      </c>
      <c r="C54" t="s">
        <v>3544</v>
      </c>
      <c r="D54" s="2">
        <v>72</v>
      </c>
      <c r="E54" s="2">
        <v>15</v>
      </c>
      <c r="F54" s="3" t="str">
        <f>HYPERLINK("http://www.sah.co.rs/dh48s-1z.html?___store=serbian"," Pogledajte proizvod na sajtu -&gt;")</f>
        <v> Pogledajte proizvod na sajtu -&gt;</v>
      </c>
    </row>
    <row r="55" spans="1:6" ht="12.75">
      <c r="A55" s="2">
        <v>54</v>
      </c>
      <c r="B55" t="s">
        <v>3545</v>
      </c>
      <c r="C55" t="s">
        <v>3544</v>
      </c>
      <c r="D55" s="2">
        <v>32</v>
      </c>
      <c r="E55" s="2">
        <v>10</v>
      </c>
      <c r="F55" s="3" t="str">
        <f>HYPERLINK("http://www.sah.co.rs/dhc19-2-ac.html?___store=serbian"," Pogledajte proizvod na sajtu -&gt;")</f>
        <v> Pogledajte proizvod na sajtu -&gt;</v>
      </c>
    </row>
    <row r="56" spans="1:6" ht="12.75">
      <c r="A56" s="2">
        <v>55</v>
      </c>
      <c r="B56" t="s">
        <v>3546</v>
      </c>
      <c r="C56" t="s">
        <v>3544</v>
      </c>
      <c r="D56" s="2">
        <v>52</v>
      </c>
      <c r="E56" s="2">
        <v>15</v>
      </c>
      <c r="F56" s="3" t="str">
        <f>HYPERLINK("http://www.sah.co.rs/h3cr-a8-220vac.html?___store=serbian"," Pogledajte proizvod na sajtu -&gt;")</f>
        <v> Pogledajte proizvod na sajtu -&gt;</v>
      </c>
    </row>
    <row r="57" spans="1:6" ht="12.75">
      <c r="A57" s="2">
        <v>56</v>
      </c>
      <c r="B57" t="s">
        <v>3547</v>
      </c>
      <c r="C57" t="s">
        <v>3548</v>
      </c>
      <c r="D57" s="2">
        <v>40</v>
      </c>
      <c r="E57" s="2">
        <v>15</v>
      </c>
      <c r="F57" s="3" t="str">
        <f>HYPERLINK("http://www.sah.co.rs/h3cr-a8-24v-ac-dc.html?___store=serbian"," Pogledajte proizvod na sajtu -&gt;")</f>
        <v> Pogledajte proizvod na sajtu -&gt;</v>
      </c>
    </row>
    <row r="58" spans="1:6" ht="12.75">
      <c r="A58" s="2">
        <v>57</v>
      </c>
      <c r="B58" t="s">
        <v>3549</v>
      </c>
      <c r="C58" t="s">
        <v>3550</v>
      </c>
      <c r="D58" s="2">
        <v>10</v>
      </c>
      <c r="E58" s="2">
        <v>10</v>
      </c>
      <c r="F58" s="3" t="str">
        <f>HYPERLINK("http://www.sah.co.rs/dhc19-2-dc.html?___store=serbian"," Pogledajte proizvod na sajtu -&gt;")</f>
        <v> Pogledajte proizvod na sajtu -&gt;</v>
      </c>
    </row>
    <row r="59" spans="1:6" ht="12.75">
      <c r="A59" s="2">
        <v>58</v>
      </c>
      <c r="B59" t="s">
        <v>3551</v>
      </c>
      <c r="C59" t="s">
        <v>3550</v>
      </c>
      <c r="D59" s="2">
        <v>24</v>
      </c>
      <c r="E59" s="2">
        <v>18</v>
      </c>
      <c r="F59" s="3" t="str">
        <f>HYPERLINK("http://www.sah.co.rs/as14s-1z.html?___store=serbian"," Pogledajte proizvod na sajtu -&gt;")</f>
        <v> Pogledajte proizvod na sajtu -&gt;</v>
      </c>
    </row>
    <row r="60" spans="1:6" ht="12.75">
      <c r="A60" s="2">
        <v>59</v>
      </c>
      <c r="B60" t="s">
        <v>3552</v>
      </c>
      <c r="C60" t="s">
        <v>3553</v>
      </c>
      <c r="D60" s="2">
        <v>15</v>
      </c>
      <c r="E60" s="2">
        <v>15</v>
      </c>
      <c r="F60" s="3" t="str">
        <f>HYPERLINK("http://www.sah.co.rs/dh48s-2z.html?___store=serbian"," Pogledajte proizvod na sajtu -&gt;")</f>
        <v> Pogledajte proizvod na sajtu -&gt;</v>
      </c>
    </row>
    <row r="61" spans="1:6" ht="12.75">
      <c r="A61" s="2">
        <v>60</v>
      </c>
      <c r="B61" t="s">
        <v>3554</v>
      </c>
      <c r="C61" t="s">
        <v>3555</v>
      </c>
      <c r="D61" s="2">
        <v>34</v>
      </c>
      <c r="E61" s="2">
        <v>12</v>
      </c>
      <c r="F61" s="3" t="str">
        <f>HYPERLINK("http://www.sah.co.rs/dhc18.html?___store=serbian"," Pogledajte proizvod na sajtu -&gt;")</f>
        <v> Pogledajte proizvod na sajtu -&gt;</v>
      </c>
    </row>
    <row r="62" spans="1:6" ht="12.75">
      <c r="A62" s="2">
        <v>61</v>
      </c>
      <c r="B62" t="s">
        <v>3556</v>
      </c>
      <c r="C62" t="s">
        <v>3557</v>
      </c>
      <c r="D62" s="2">
        <v>40</v>
      </c>
      <c r="E62" s="2">
        <v>12</v>
      </c>
      <c r="F62" s="3" t="str">
        <f>HYPERLINK("http://www.sah.co.rs/dhc19-y.html?___store=serbian","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F228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36.00390625" style="0" customWidth="1"/>
    <col min="3" max="3" width="74.4218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3558</v>
      </c>
      <c r="C2" t="s">
        <v>3559</v>
      </c>
      <c r="D2" s="2">
        <v>0</v>
      </c>
      <c r="E2" s="2">
        <v>0.6</v>
      </c>
      <c r="F2" s="3" t="str">
        <f>HYPERLINK("http://www.sah.co.rs/klik-klak-1021.html?___store=serbian"," Pogledajte proizvod na sajtu -&gt;")</f>
        <v> Pogledajte proizvod na sajtu -&gt;</v>
      </c>
    </row>
    <row r="3" spans="1:6" ht="12.75">
      <c r="A3" s="2">
        <v>2</v>
      </c>
      <c r="B3" t="s">
        <v>3560</v>
      </c>
      <c r="C3" t="s">
        <v>3561</v>
      </c>
      <c r="D3" s="2">
        <v>317</v>
      </c>
      <c r="E3" s="2">
        <v>0.8</v>
      </c>
      <c r="F3" s="3" t="str">
        <f>HYPERLINK("http://www.sah.co.rs/klik-klak-1221.html?___store=serbian"," Pogledajte proizvod na sajtu -&gt;")</f>
        <v> Pogledajte proizvod na sajtu -&gt;</v>
      </c>
    </row>
    <row r="4" spans="1:6" ht="12.75">
      <c r="A4" s="2">
        <v>3</v>
      </c>
      <c r="B4" t="s">
        <v>3562</v>
      </c>
      <c r="C4" t="s">
        <v>3563</v>
      </c>
      <c r="D4" s="2">
        <v>456</v>
      </c>
      <c r="E4" s="2">
        <v>0.8</v>
      </c>
      <c r="F4" s="3" t="str">
        <f>HYPERLINK("http://www.sah.co.rs/klik-klak-1321.html?___store=serbian"," Pogledajte proizvod na sajtu -&gt;")</f>
        <v> Pogledajte proizvod na sajtu -&gt;</v>
      </c>
    </row>
    <row r="5" spans="1:6" ht="12.75">
      <c r="A5" s="2">
        <v>4</v>
      </c>
      <c r="B5" t="s">
        <v>3564</v>
      </c>
      <c r="C5" t="s">
        <v>3565</v>
      </c>
      <c r="D5" s="2">
        <v>469</v>
      </c>
      <c r="E5" s="2">
        <v>1</v>
      </c>
      <c r="F5" s="3" t="str">
        <f>HYPERLINK("http://www.sah.co.rs/klik-klak-1322.html?___store=serbian"," Pogledajte proizvod na sajtu -&gt;")</f>
        <v> Pogledajte proizvod na sajtu -&gt;</v>
      </c>
    </row>
    <row r="6" spans="1:6" ht="12.75">
      <c r="A6" s="2">
        <v>5</v>
      </c>
      <c r="B6" t="s">
        <v>3566</v>
      </c>
      <c r="C6" t="s">
        <v>3567</v>
      </c>
      <c r="D6" s="2">
        <v>23</v>
      </c>
      <c r="E6" s="2">
        <v>10</v>
      </c>
      <c r="F6" s="3" t="str">
        <f>HYPERLINK("http://www.sah.co.rs/mp025s-f-22z-beli.html?___store=serbian"," Pogledajte proizvod na sajtu -&gt;")</f>
        <v> Pogledajte proizvod na sajtu -&gt;</v>
      </c>
    </row>
    <row r="7" spans="1:6" ht="12.75">
      <c r="A7" s="2">
        <v>6</v>
      </c>
      <c r="B7" t="s">
        <v>3568</v>
      </c>
      <c r="C7" t="s">
        <v>3569</v>
      </c>
      <c r="D7" s="2">
        <v>55</v>
      </c>
      <c r="E7" s="2">
        <v>10</v>
      </c>
      <c r="F7" s="3" t="str">
        <f>HYPERLINK("http://www.sah.co.rs/mp025s-f-22z-crveni.html?___store=serbian"," Pogledajte proizvod na sajtu -&gt;")</f>
        <v> Pogledajte proizvod na sajtu -&gt;</v>
      </c>
    </row>
    <row r="8" spans="1:6" ht="12.75">
      <c r="A8" s="2">
        <v>7</v>
      </c>
      <c r="B8" t="s">
        <v>3570</v>
      </c>
      <c r="C8" t="s">
        <v>3571</v>
      </c>
      <c r="D8" s="2">
        <v>52</v>
      </c>
      <c r="E8" s="2">
        <v>10</v>
      </c>
      <c r="F8" s="3" t="str">
        <f>HYPERLINK("http://www.sah.co.rs/mp025s-f-22z-plavi.html?___store=serbian"," Pogledajte proizvod na sajtu -&gt;")</f>
        <v> Pogledajte proizvod na sajtu -&gt;</v>
      </c>
    </row>
    <row r="9" spans="1:6" ht="12.75">
      <c r="A9" s="2">
        <v>8</v>
      </c>
      <c r="B9" t="s">
        <v>3572</v>
      </c>
      <c r="C9" t="s">
        <v>3573</v>
      </c>
      <c r="D9" s="2">
        <v>32</v>
      </c>
      <c r="E9" s="2">
        <v>10</v>
      </c>
      <c r="F9" s="3" t="str">
        <f>HYPERLINK("http://www.sah.co.rs/mp025s-f-22z-zeleni.html?___store=serbian"," Pogledajte proizvod na sajtu -&gt;")</f>
        <v> Pogledajte proizvod na sajtu -&gt;</v>
      </c>
    </row>
    <row r="10" spans="1:6" ht="12.75">
      <c r="A10" s="2">
        <v>9</v>
      </c>
      <c r="B10" t="s">
        <v>3574</v>
      </c>
      <c r="C10" t="s">
        <v>3575</v>
      </c>
      <c r="D10" s="2">
        <v>24</v>
      </c>
      <c r="E10" s="2">
        <v>10</v>
      </c>
      <c r="F10" s="3" t="str">
        <f>HYPERLINK("http://www.sah.co.rs/mp025s-f-22z-zuti.html?___store=serbian"," Pogledajte proizvod na sajtu -&gt;")</f>
        <v> Pogledajte proizvod na sajtu -&gt;</v>
      </c>
    </row>
    <row r="11" spans="1:6" ht="12.75">
      <c r="A11" s="2">
        <v>10</v>
      </c>
      <c r="B11" t="s">
        <v>3576</v>
      </c>
      <c r="C11" t="s">
        <v>3577</v>
      </c>
      <c r="D11" s="2">
        <v>50</v>
      </c>
      <c r="E11" s="2">
        <v>5</v>
      </c>
      <c r="F11" s="3" t="str">
        <f>HYPERLINK("http://www.sah.co.rs/mp016s-f11e-beli.html?___store=serbian"," Pogledajte proizvod na sajtu -&gt;")</f>
        <v> Pogledajte proizvod na sajtu -&gt;</v>
      </c>
    </row>
    <row r="12" spans="1:6" ht="12.75">
      <c r="A12" s="2">
        <v>11</v>
      </c>
      <c r="B12" t="s">
        <v>3578</v>
      </c>
      <c r="C12" t="s">
        <v>3579</v>
      </c>
      <c r="D12" s="2">
        <v>43</v>
      </c>
      <c r="E12" s="2">
        <v>8</v>
      </c>
      <c r="F12" s="3" t="str">
        <f>HYPERLINK("http://www.sah.co.rs/mp022s-f-11-e-beli.html?___store=serbian"," Pogledajte proizvod na sajtu -&gt;")</f>
        <v> Pogledajte proizvod na sajtu -&gt;</v>
      </c>
    </row>
    <row r="13" spans="1:6" ht="12.75">
      <c r="A13" s="2">
        <v>12</v>
      </c>
      <c r="B13" t="s">
        <v>3580</v>
      </c>
      <c r="C13" t="s">
        <v>3581</v>
      </c>
      <c r="D13" s="2">
        <v>42</v>
      </c>
      <c r="E13" s="2">
        <v>6</v>
      </c>
      <c r="F13" s="3" t="str">
        <f>HYPERLINK("http://www.sah.co.rs/mp022s-f11e-beli.html?___store=serbian"," Pogledajte proizvod na sajtu -&gt;")</f>
        <v> Pogledajte proizvod na sajtu -&gt;</v>
      </c>
    </row>
    <row r="14" spans="1:6" ht="12.75">
      <c r="A14" s="2">
        <v>13</v>
      </c>
      <c r="B14" t="s">
        <v>3582</v>
      </c>
      <c r="C14" t="s">
        <v>3583</v>
      </c>
      <c r="D14" s="2">
        <v>0</v>
      </c>
      <c r="E14" s="2">
        <v>5</v>
      </c>
      <c r="F14" s="3" t="str">
        <f>HYPERLINK("http://www.sah.co.rs/mp16s-f-2j-e-crveni.html?___store=serbian"," Pogledajte proizvod na sajtu -&gt;")</f>
        <v> Pogledajte proizvod na sajtu -&gt;</v>
      </c>
    </row>
    <row r="15" spans="1:6" ht="12.75">
      <c r="A15" s="2">
        <v>14</v>
      </c>
      <c r="B15" t="s">
        <v>3584</v>
      </c>
      <c r="C15" t="s">
        <v>3585</v>
      </c>
      <c r="D15" s="2">
        <v>8</v>
      </c>
      <c r="E15" s="2">
        <v>5</v>
      </c>
      <c r="F15" s="3" t="str">
        <f>HYPERLINK("http://www.sah.co.rs/mp016s-f11e-crveni.html?___store=serbian"," Pogledajte proizvod na sajtu -&gt;")</f>
        <v> Pogledajte proizvod na sajtu -&gt;</v>
      </c>
    </row>
    <row r="16" spans="1:6" ht="12.75">
      <c r="A16" s="2">
        <v>15</v>
      </c>
      <c r="B16" t="s">
        <v>3586</v>
      </c>
      <c r="C16" t="s">
        <v>3587</v>
      </c>
      <c r="D16" s="2">
        <v>44</v>
      </c>
      <c r="E16" s="2">
        <v>5</v>
      </c>
      <c r="F16" s="3" t="str">
        <f>HYPERLINK("http://www.sah.co.rs/mp019s-f11e-crveni.html?___store=serbian"," Pogledajte proizvod na sajtu -&gt;")</f>
        <v> Pogledajte proizvod na sajtu -&gt;</v>
      </c>
    </row>
    <row r="17" spans="1:6" ht="12.75">
      <c r="A17" s="2">
        <v>16</v>
      </c>
      <c r="B17" t="s">
        <v>3588</v>
      </c>
      <c r="C17" t="s">
        <v>3589</v>
      </c>
      <c r="D17" s="2">
        <v>8</v>
      </c>
      <c r="E17" s="2">
        <v>8</v>
      </c>
      <c r="F17" s="3" t="str">
        <f>HYPERLINK("http://www.sah.co.rs/mp022s-f-11-e-crveni.html?___store=serbian"," Pogledajte proizvod na sajtu -&gt;")</f>
        <v> Pogledajte proizvod na sajtu -&gt;</v>
      </c>
    </row>
    <row r="18" spans="1:6" ht="12.75">
      <c r="A18" s="2">
        <v>17</v>
      </c>
      <c r="B18" t="s">
        <v>3590</v>
      </c>
      <c r="C18" t="s">
        <v>3591</v>
      </c>
      <c r="D18" s="2">
        <v>75</v>
      </c>
      <c r="E18" s="2">
        <v>6</v>
      </c>
      <c r="F18" s="3" t="str">
        <f>HYPERLINK("http://www.sah.co.rs/mp022s-f11e-crveni.html?___store=serbian"," Pogledajte proizvod na sajtu -&gt;")</f>
        <v> Pogledajte proizvod na sajtu -&gt;</v>
      </c>
    </row>
    <row r="19" spans="1:6" ht="12.75">
      <c r="A19" s="2">
        <v>18</v>
      </c>
      <c r="B19" t="s">
        <v>3592</v>
      </c>
      <c r="C19" t="s">
        <v>3593</v>
      </c>
      <c r="D19" s="2">
        <v>96</v>
      </c>
      <c r="E19" s="2">
        <v>5</v>
      </c>
      <c r="F19" s="3" t="str">
        <f>HYPERLINK("http://www.sah.co.rs/mp016s-f11e-plavi.html?___store=serbian"," Pogledajte proizvod na sajtu -&gt;")</f>
        <v> Pogledajte proizvod na sajtu -&gt;</v>
      </c>
    </row>
    <row r="20" spans="1:6" ht="12.75">
      <c r="A20" s="2">
        <v>19</v>
      </c>
      <c r="B20" t="s">
        <v>3594</v>
      </c>
      <c r="C20" t="s">
        <v>3595</v>
      </c>
      <c r="D20" s="2">
        <v>40</v>
      </c>
      <c r="E20" s="2">
        <v>5</v>
      </c>
      <c r="F20" s="3" t="str">
        <f>HYPERLINK("http://www.sah.co.rs/mp019s-f11e-plavi.html?___store=serbian"," Pogledajte proizvod na sajtu -&gt;")</f>
        <v> Pogledajte proizvod na sajtu -&gt;</v>
      </c>
    </row>
    <row r="21" spans="1:6" ht="12.75">
      <c r="A21" s="2">
        <v>20</v>
      </c>
      <c r="B21" t="s">
        <v>3596</v>
      </c>
      <c r="C21" t="s">
        <v>3597</v>
      </c>
      <c r="D21" s="2">
        <v>14</v>
      </c>
      <c r="E21" s="2">
        <v>8</v>
      </c>
      <c r="F21" s="3" t="str">
        <f>HYPERLINK("http://www.sah.co.rs/mp022s-f-11-e-plavi.html?___store=serbian"," Pogledajte proizvod na sajtu -&gt;")</f>
        <v> Pogledajte proizvod na sajtu -&gt;</v>
      </c>
    </row>
    <row r="22" spans="1:6" ht="12.75">
      <c r="A22" s="2">
        <v>21</v>
      </c>
      <c r="B22" t="s">
        <v>3598</v>
      </c>
      <c r="C22" t="s">
        <v>3599</v>
      </c>
      <c r="D22" s="2">
        <v>35</v>
      </c>
      <c r="E22" s="2">
        <v>6</v>
      </c>
      <c r="F22" s="3" t="str">
        <f>HYPERLINK("http://www.sah.co.rs/mp022s-f11e-plavi.html?___store=serbian"," Pogledajte proizvod na sajtu -&gt;")</f>
        <v> Pogledajte proizvod na sajtu -&gt;</v>
      </c>
    </row>
    <row r="23" spans="1:6" ht="12.75">
      <c r="A23" s="2">
        <v>22</v>
      </c>
      <c r="B23" t="s">
        <v>3600</v>
      </c>
      <c r="C23" t="s">
        <v>3601</v>
      </c>
      <c r="D23" s="2">
        <v>52</v>
      </c>
      <c r="E23" s="2">
        <v>5</v>
      </c>
      <c r="F23" s="3" t="str">
        <f>HYPERLINK("http://www.sah.co.rs/mp16s-f-2j-e-zeleni.html?___store=serbian"," Pogledajte proizvod na sajtu -&gt;")</f>
        <v> Pogledajte proizvod na sajtu -&gt;</v>
      </c>
    </row>
    <row r="24" spans="1:6" ht="12.75">
      <c r="A24" s="2">
        <v>23</v>
      </c>
      <c r="B24" t="s">
        <v>3602</v>
      </c>
      <c r="C24" t="s">
        <v>3603</v>
      </c>
      <c r="D24" s="2">
        <v>55</v>
      </c>
      <c r="E24" s="2">
        <v>5</v>
      </c>
      <c r="F24" s="3" t="str">
        <f>HYPERLINK("http://www.sah.co.rs/mp016s-f11e-zeleni.html?___store=serbian"," Pogledajte proizvod na sajtu -&gt;")</f>
        <v> Pogledajte proizvod na sajtu -&gt;</v>
      </c>
    </row>
    <row r="25" spans="1:6" ht="12.75">
      <c r="A25" s="2">
        <v>24</v>
      </c>
      <c r="B25" t="s">
        <v>3604</v>
      </c>
      <c r="C25" t="s">
        <v>3605</v>
      </c>
      <c r="D25" s="2">
        <v>38</v>
      </c>
      <c r="E25" s="2">
        <v>5</v>
      </c>
      <c r="F25" s="3" t="str">
        <f>HYPERLINK("http://www.sah.co.rs/mp019s-f11e-zeleni.html?___store=serbian"," Pogledajte proizvod na sajtu -&gt;")</f>
        <v> Pogledajte proizvod na sajtu -&gt;</v>
      </c>
    </row>
    <row r="26" spans="1:6" ht="12.75">
      <c r="A26" s="2">
        <v>25</v>
      </c>
      <c r="B26" t="s">
        <v>3606</v>
      </c>
      <c r="C26" t="s">
        <v>3607</v>
      </c>
      <c r="D26" s="2">
        <v>14</v>
      </c>
      <c r="E26" s="2">
        <v>6</v>
      </c>
      <c r="F26" s="3" t="str">
        <f>HYPERLINK("http://www.sah.co.rs/mp022s-f11e-zeleni.html?___store=serbian"," Pogledajte proizvod na sajtu -&gt;")</f>
        <v> Pogledajte proizvod na sajtu -&gt;</v>
      </c>
    </row>
    <row r="27" spans="1:6" ht="12.75">
      <c r="A27" s="2">
        <v>26</v>
      </c>
      <c r="B27" t="s">
        <v>3608</v>
      </c>
      <c r="C27" t="s">
        <v>3609</v>
      </c>
      <c r="D27" s="2">
        <v>10</v>
      </c>
      <c r="E27" s="2">
        <v>5</v>
      </c>
      <c r="F27" s="3" t="str">
        <f>HYPERLINK("http://www.sah.co.rs/mp16s-f-2j-e-zuti.html?___store=serbian"," Pogledajte proizvod na sajtu -&gt;")</f>
        <v> Pogledajte proizvod na sajtu -&gt;</v>
      </c>
    </row>
    <row r="28" spans="1:6" ht="12.75">
      <c r="A28" s="2">
        <v>27</v>
      </c>
      <c r="B28" t="s">
        <v>3610</v>
      </c>
      <c r="C28" t="s">
        <v>3611</v>
      </c>
      <c r="D28" s="2">
        <v>48</v>
      </c>
      <c r="E28" s="2">
        <v>5</v>
      </c>
      <c r="F28" s="3" t="str">
        <f>HYPERLINK("http://www.sah.co.rs/mp016s-f11e-zuti.html?___store=serbian"," Pogledajte proizvod na sajtu -&gt;")</f>
        <v> Pogledajte proizvod na sajtu -&gt;</v>
      </c>
    </row>
    <row r="29" spans="1:6" ht="12.75">
      <c r="A29" s="2">
        <v>28</v>
      </c>
      <c r="B29" t="s">
        <v>3612</v>
      </c>
      <c r="C29" t="s">
        <v>3613</v>
      </c>
      <c r="D29" s="2">
        <v>29</v>
      </c>
      <c r="E29" s="2">
        <v>5</v>
      </c>
      <c r="F29" s="3" t="str">
        <f>HYPERLINK("http://www.sah.co.rs/mp019s-f11e-zuti.html?___store=serbian"," Pogledajte proizvod na sajtu -&gt;")</f>
        <v> Pogledajte proizvod na sajtu -&gt;</v>
      </c>
    </row>
    <row r="30" spans="1:6" ht="12.75">
      <c r="A30" s="2">
        <v>29</v>
      </c>
      <c r="B30" t="s">
        <v>3614</v>
      </c>
      <c r="C30" t="s">
        <v>3615</v>
      </c>
      <c r="D30" s="2">
        <v>35</v>
      </c>
      <c r="E30" s="2">
        <v>8</v>
      </c>
      <c r="F30" s="3" t="str">
        <f>HYPERLINK("http://www.sah.co.rs/mp022s-f-11-e-zuti.html?___store=serbian"," Pogledajte proizvod na sajtu -&gt;")</f>
        <v> Pogledajte proizvod na sajtu -&gt;</v>
      </c>
    </row>
    <row r="31" spans="1:6" ht="12.75">
      <c r="A31" s="2">
        <v>30</v>
      </c>
      <c r="B31" t="s">
        <v>3616</v>
      </c>
      <c r="C31" t="s">
        <v>3617</v>
      </c>
      <c r="D31" s="2">
        <v>47</v>
      </c>
      <c r="E31" s="2">
        <v>6</v>
      </c>
      <c r="F31" s="3" t="str">
        <f>HYPERLINK("http://www.sah.co.rs/mp022s-f11e-zuti.html?___store=serbian"," Pogledajte proizvod na sajtu -&gt;")</f>
        <v> Pogledajte proizvod na sajtu -&gt;</v>
      </c>
    </row>
    <row r="32" spans="1:6" ht="12.75">
      <c r="A32" s="2">
        <v>31</v>
      </c>
      <c r="B32" t="s">
        <v>3618</v>
      </c>
      <c r="C32" t="s">
        <v>3619</v>
      </c>
      <c r="D32" s="2">
        <v>12</v>
      </c>
      <c r="E32" s="2">
        <v>2.6</v>
      </c>
      <c r="F32" s="3" t="str">
        <f>HYPERLINK("http://www.sah.co.rs/mp12s-b-2.html?___store=serbian"," Pogledajte proizvod na sajtu -&gt;")</f>
        <v> Pogledajte proizvod na sajtu -&gt;</v>
      </c>
    </row>
    <row r="33" spans="1:6" ht="12.75">
      <c r="A33" s="2">
        <v>32</v>
      </c>
      <c r="B33" t="s">
        <v>3620</v>
      </c>
      <c r="C33" t="s">
        <v>3621</v>
      </c>
      <c r="D33" s="2">
        <v>51</v>
      </c>
      <c r="E33" s="2">
        <v>2.6</v>
      </c>
      <c r="F33" s="3" t="str">
        <f>HYPERLINK("http://www.sah.co.rs/mp16s-f-2j.html?___store=serbian"," Pogledajte proizvod na sajtu -&gt;")</f>
        <v> Pogledajte proizvod na sajtu -&gt;</v>
      </c>
    </row>
    <row r="34" spans="1:6" ht="12.75">
      <c r="A34" s="2">
        <v>33</v>
      </c>
      <c r="B34" t="s">
        <v>3622</v>
      </c>
      <c r="C34" t="s">
        <v>3621</v>
      </c>
      <c r="D34" s="2">
        <v>55</v>
      </c>
      <c r="E34" s="2">
        <v>2.6</v>
      </c>
      <c r="F34" s="3" t="str">
        <f>HYPERLINK("http://www.sah.co.rs/mp16s-f-2.html?___store=serbian"," Pogledajte proizvod na sajtu -&gt;")</f>
        <v> Pogledajte proizvod na sajtu -&gt;</v>
      </c>
    </row>
    <row r="35" spans="1:6" ht="12.75">
      <c r="A35" s="2">
        <v>34</v>
      </c>
      <c r="B35" t="s">
        <v>3623</v>
      </c>
      <c r="C35" t="s">
        <v>3624</v>
      </c>
      <c r="D35" s="2">
        <v>1</v>
      </c>
      <c r="E35" s="2">
        <v>2</v>
      </c>
      <c r="F35" s="3" t="str">
        <f>HYPERLINK("http://www.sah.co.rs/mp16s-f10.html?___store=serbian"," Pogledajte proizvod na sajtu -&gt;")</f>
        <v> Pogledajte proizvod na sajtu -&gt;</v>
      </c>
    </row>
    <row r="36" spans="1:6" ht="12.75">
      <c r="A36" s="2">
        <v>35</v>
      </c>
      <c r="B36" t="s">
        <v>3625</v>
      </c>
      <c r="C36" t="s">
        <v>3626</v>
      </c>
      <c r="D36" s="2">
        <v>16</v>
      </c>
      <c r="E36" s="2">
        <v>2.8</v>
      </c>
      <c r="F36" s="3" t="str">
        <f>HYPERLINK("http://www.sah.co.rs/mp19s-f10.html?___store=serbian"," Pogledajte proizvod na sajtu -&gt;")</f>
        <v> Pogledajte proizvod na sajtu -&gt;</v>
      </c>
    </row>
    <row r="37" spans="1:6" ht="12.75">
      <c r="A37" s="2">
        <v>36</v>
      </c>
      <c r="B37" t="s">
        <v>3627</v>
      </c>
      <c r="C37" t="s">
        <v>3628</v>
      </c>
      <c r="D37" s="2">
        <v>53</v>
      </c>
      <c r="E37" s="2">
        <v>8</v>
      </c>
      <c r="F37" s="3" t="str">
        <f>HYPERLINK("http://www.sah.co.rs/mp022-f11.html?___store=serbian"," Pogledajte proizvod na sajtu -&gt;")</f>
        <v> Pogledajte proizvod na sajtu -&gt;</v>
      </c>
    </row>
    <row r="38" spans="1:6" ht="12.75">
      <c r="A38" s="2">
        <v>37</v>
      </c>
      <c r="B38" t="s">
        <v>3629</v>
      </c>
      <c r="C38" t="s">
        <v>3630</v>
      </c>
      <c r="D38" s="2">
        <v>281</v>
      </c>
      <c r="E38" s="2">
        <v>4</v>
      </c>
      <c r="F38" s="3" t="str">
        <f>HYPERLINK("http://www.sah.co.rs/mp22s-f10.html?___store=serbian"," Pogledajte proizvod na sajtu -&gt;")</f>
        <v> Pogledajte proizvod na sajtu -&gt;</v>
      </c>
    </row>
    <row r="39" spans="1:6" ht="12.75">
      <c r="A39" s="2">
        <v>38</v>
      </c>
      <c r="B39" t="s">
        <v>3631</v>
      </c>
      <c r="C39" t="s">
        <v>3632</v>
      </c>
      <c r="D39" s="2">
        <v>12</v>
      </c>
      <c r="E39" s="2">
        <v>2.8</v>
      </c>
      <c r="F39" s="3" t="str">
        <f>HYPERLINK("http://www.sah.co.rs/hb2-bs142-sve-stop.html?___store=serbian"," Pogledajte proizvod na sajtu -&gt;")</f>
        <v> Pogledajte proizvod na sajtu -&gt;</v>
      </c>
    </row>
    <row r="40" spans="1:6" ht="12.75">
      <c r="A40" s="2">
        <v>39</v>
      </c>
      <c r="B40" t="s">
        <v>3633</v>
      </c>
      <c r="C40" t="s">
        <v>3634</v>
      </c>
      <c r="D40" s="2">
        <v>120</v>
      </c>
      <c r="E40" s="2">
        <v>6</v>
      </c>
      <c r="F40" s="3" t="str">
        <f>HYPERLINK("http://www.sah.co.rs/gq38-11eds-white-switch-led-220v.html?___store=serbian"," Pogledajte proizvod na sajtu -&gt;")</f>
        <v> Pogledajte proizvod na sajtu -&gt;</v>
      </c>
    </row>
    <row r="41" spans="1:6" ht="12.75">
      <c r="A41" s="2">
        <v>40</v>
      </c>
      <c r="B41" t="s">
        <v>3635</v>
      </c>
      <c r="C41" t="s">
        <v>3636</v>
      </c>
      <c r="D41" s="2">
        <v>50</v>
      </c>
      <c r="E41" s="2">
        <v>3.2</v>
      </c>
      <c r="F41" s="3" t="str">
        <f>HYPERLINK("http://www.sah.co.rs/la115-b2-11td-beli-led-220v-ac.html?___store=serbian"," Pogledajte proizvod na sajtu -&gt;")</f>
        <v> Pogledajte proizvod na sajtu -&gt;</v>
      </c>
    </row>
    <row r="42" spans="1:6" ht="12.75">
      <c r="A42" s="2">
        <v>41</v>
      </c>
      <c r="B42" t="s">
        <v>3637</v>
      </c>
      <c r="C42" t="s">
        <v>3638</v>
      </c>
      <c r="D42" s="2">
        <v>336</v>
      </c>
      <c r="E42" s="2">
        <v>3.2</v>
      </c>
      <c r="F42" s="3" t="str">
        <f>HYPERLINK("http://www.sah.co.rs/la115-b2-11td-beli-led-24v-ac-dc.html?___store=serbian"," Pogledajte proizvod na sajtu -&gt;")</f>
        <v> Pogledajte proizvod na sajtu -&gt;</v>
      </c>
    </row>
    <row r="43" spans="1:6" ht="12.75">
      <c r="A43" s="2">
        <v>42</v>
      </c>
      <c r="B43" t="s">
        <v>3639</v>
      </c>
      <c r="C43" t="s">
        <v>3640</v>
      </c>
      <c r="D43" s="2">
        <v>167</v>
      </c>
      <c r="E43" s="2">
        <v>2.2</v>
      </c>
      <c r="F43" s="3" t="str">
        <f>HYPERLINK("http://www.sah.co.rs/la115-b2-11t-crni.html?___store=serbian"," Pogledajte proizvod na sajtu -&gt;")</f>
        <v> Pogledajte proizvod na sajtu -&gt;</v>
      </c>
    </row>
    <row r="44" spans="1:6" ht="12.75">
      <c r="A44" s="2">
        <v>43</v>
      </c>
      <c r="B44" t="s">
        <v>3641</v>
      </c>
      <c r="C44" t="s">
        <v>3642</v>
      </c>
      <c r="D44" s="2">
        <v>247</v>
      </c>
      <c r="E44" s="2">
        <v>6</v>
      </c>
      <c r="F44" s="3" t="str">
        <f>HYPERLINK("http://www.sah.co.rs/gq38-11eds-red-switch-led-220v.html?___store=serbian"," Pogledajte proizvod na sajtu -&gt;")</f>
        <v> Pogledajte proizvod na sajtu -&gt;</v>
      </c>
    </row>
    <row r="45" spans="1:6" ht="12.75">
      <c r="A45" s="2">
        <v>44</v>
      </c>
      <c r="B45" t="s">
        <v>3643</v>
      </c>
      <c r="C45" t="s">
        <v>3644</v>
      </c>
      <c r="D45" s="2">
        <v>140</v>
      </c>
      <c r="E45" s="2">
        <v>3.2</v>
      </c>
      <c r="F45" s="3" t="str">
        <f>HYPERLINK("http://www.sah.co.rs/la115-b2-11td-crveni-led-220v-ac.html?___store=serbian"," Pogledajte proizvod na sajtu -&gt;")</f>
        <v> Pogledajte proizvod na sajtu -&gt;</v>
      </c>
    </row>
    <row r="46" spans="1:6" ht="12.75">
      <c r="A46" s="2">
        <v>45</v>
      </c>
      <c r="B46" t="s">
        <v>3645</v>
      </c>
      <c r="C46" t="s">
        <v>3646</v>
      </c>
      <c r="D46" s="2">
        <v>17</v>
      </c>
      <c r="E46" s="2">
        <v>3.2</v>
      </c>
      <c r="F46" s="3" t="str">
        <f>HYPERLINK("http://www.sah.co.rs/la115-b2-11td-crveni-led-24v-ac-dc.html?___store=serbian"," Pogledajte proizvod na sajtu -&gt;")</f>
        <v> Pogledajte proizvod na sajtu -&gt;</v>
      </c>
    </row>
    <row r="47" spans="1:6" ht="12.75">
      <c r="A47" s="2">
        <v>46</v>
      </c>
      <c r="B47" t="s">
        <v>3647</v>
      </c>
      <c r="C47" t="s">
        <v>3648</v>
      </c>
      <c r="D47" s="2">
        <v>12</v>
      </c>
      <c r="E47" s="2">
        <v>1.2</v>
      </c>
      <c r="F47" s="3" t="str">
        <f>HYPERLINK("http://www.sah.co.rs/la115-c-11al-crveni.html?___store=serbian"," Pogledajte proizvod na sajtu -&gt;")</f>
        <v> Pogledajte proizvod na sajtu -&gt;</v>
      </c>
    </row>
    <row r="48" spans="1:6" ht="12.75">
      <c r="A48" s="2">
        <v>47</v>
      </c>
      <c r="B48" t="s">
        <v>3649</v>
      </c>
      <c r="C48" t="s">
        <v>3650</v>
      </c>
      <c r="D48" s="2">
        <v>55</v>
      </c>
      <c r="E48" s="2">
        <v>2.2</v>
      </c>
      <c r="F48" s="3" t="str">
        <f>HYPERLINK("http://www.sah.co.rs/la115-b2-11t-crveni.html?___store=serbian"," Pogledajte proizvod na sajtu -&gt;")</f>
        <v> Pogledajte proizvod na sajtu -&gt;</v>
      </c>
    </row>
    <row r="49" spans="1:6" ht="12.75">
      <c r="A49" s="2">
        <v>48</v>
      </c>
      <c r="B49" t="s">
        <v>3651</v>
      </c>
      <c r="C49" t="s">
        <v>3652</v>
      </c>
      <c r="D49" s="2">
        <v>120</v>
      </c>
      <c r="E49" s="2">
        <v>6</v>
      </c>
      <c r="F49" s="3" t="str">
        <f>HYPERLINK("http://www.sah.co.rs/gq38-11eds-blue-switch-led-220v.html?___store=serbian"," Pogledajte proizvod na sajtu -&gt;")</f>
        <v> Pogledajte proizvod na sajtu -&gt;</v>
      </c>
    </row>
    <row r="50" spans="1:6" ht="12.75">
      <c r="A50" s="2">
        <v>49</v>
      </c>
      <c r="B50" t="s">
        <v>3653</v>
      </c>
      <c r="C50" t="s">
        <v>3654</v>
      </c>
      <c r="D50" s="2">
        <v>77</v>
      </c>
      <c r="E50" s="2">
        <v>3.2</v>
      </c>
      <c r="F50" s="3" t="str">
        <f>HYPERLINK("http://www.sah.co.rs/la115-b2-11td-plavi-led-220v-ac.html?___store=serbian"," Pogledajte proizvod na sajtu -&gt;")</f>
        <v> Pogledajte proizvod na sajtu -&gt;</v>
      </c>
    </row>
    <row r="51" spans="1:6" ht="12.75">
      <c r="A51" s="2">
        <v>50</v>
      </c>
      <c r="B51" t="s">
        <v>3655</v>
      </c>
      <c r="C51" t="s">
        <v>3656</v>
      </c>
      <c r="D51" s="2">
        <v>190</v>
      </c>
      <c r="E51" s="2">
        <v>3.2</v>
      </c>
      <c r="F51" s="3" t="str">
        <f>HYPERLINK("http://www.sah.co.rs/la115-b2-11td-plavi-led-24v-ac-dc.html?___store=serbian"," Pogledajte proizvod na sajtu -&gt;")</f>
        <v> Pogledajte proizvod na sajtu -&gt;</v>
      </c>
    </row>
    <row r="52" spans="1:6" ht="12.75">
      <c r="A52" s="2">
        <v>51</v>
      </c>
      <c r="B52" t="s">
        <v>3657</v>
      </c>
      <c r="C52" t="s">
        <v>3658</v>
      </c>
      <c r="D52" s="2">
        <v>69</v>
      </c>
      <c r="E52" s="2">
        <v>2.2</v>
      </c>
      <c r="F52" s="3" t="str">
        <f>HYPERLINK("http://www.sah.co.rs/la115-b2-11t-plavi.html?___store=serbian"," Pogledajte proizvod na sajtu -&gt;")</f>
        <v> Pogledajte proizvod na sajtu -&gt;</v>
      </c>
    </row>
    <row r="53" spans="1:6" ht="12.75">
      <c r="A53" s="2">
        <v>52</v>
      </c>
      <c r="B53" t="s">
        <v>3659</v>
      </c>
      <c r="C53" t="s">
        <v>3660</v>
      </c>
      <c r="D53" s="2">
        <v>243</v>
      </c>
      <c r="E53" s="2">
        <v>6</v>
      </c>
      <c r="F53" s="3" t="str">
        <f>HYPERLINK("http://www.sah.co.rs/gq38-11eds-green-switch-led-220v.html?___store=serbian"," Pogledajte proizvod na sajtu -&gt;")</f>
        <v> Pogledajte proizvod na sajtu -&gt;</v>
      </c>
    </row>
    <row r="54" spans="1:6" ht="12.75">
      <c r="A54" s="2">
        <v>53</v>
      </c>
      <c r="B54" t="s">
        <v>3661</v>
      </c>
      <c r="C54" t="s">
        <v>3662</v>
      </c>
      <c r="D54" s="2">
        <v>75</v>
      </c>
      <c r="E54" s="2">
        <v>3.2</v>
      </c>
      <c r="F54" s="3" t="str">
        <f>HYPERLINK("http://www.sah.co.rs/la115-b2-11td-zeleni-led-220v-ac.html?___store=serbian"," Pogledajte proizvod na sajtu -&gt;")</f>
        <v> Pogledajte proizvod na sajtu -&gt;</v>
      </c>
    </row>
    <row r="55" spans="1:6" ht="12.75">
      <c r="A55" s="2">
        <v>54</v>
      </c>
      <c r="B55" t="s">
        <v>3663</v>
      </c>
      <c r="C55" t="s">
        <v>3664</v>
      </c>
      <c r="D55" s="2">
        <v>72</v>
      </c>
      <c r="E55" s="2">
        <v>3.2</v>
      </c>
      <c r="F55" s="3" t="str">
        <f>HYPERLINK("http://www.sah.co.rs/la115-b2-11td-zeleni-led-24v-ac-dc.html?___store=serbian"," Pogledajte proizvod na sajtu -&gt;")</f>
        <v> Pogledajte proizvod na sajtu -&gt;</v>
      </c>
    </row>
    <row r="56" spans="1:6" ht="12.75">
      <c r="A56" s="2">
        <v>55</v>
      </c>
      <c r="B56" t="s">
        <v>3665</v>
      </c>
      <c r="C56" t="s">
        <v>3666</v>
      </c>
      <c r="D56" s="2">
        <v>0</v>
      </c>
      <c r="E56" s="2">
        <v>1.2</v>
      </c>
      <c r="F56" s="3" t="str">
        <f>HYPERLINK("http://www.sah.co.rs/la115-c-11al-zeleni.html?___store=serbian"," Pogledajte proizvod na sajtu -&gt;")</f>
        <v> Pogledajte proizvod na sajtu -&gt;</v>
      </c>
    </row>
    <row r="57" spans="1:6" ht="12.75">
      <c r="A57" s="2">
        <v>56</v>
      </c>
      <c r="B57" t="s">
        <v>3667</v>
      </c>
      <c r="C57" t="s">
        <v>3668</v>
      </c>
      <c r="D57" s="2">
        <v>68</v>
      </c>
      <c r="E57" s="2">
        <v>2.2</v>
      </c>
      <c r="F57" s="3" t="str">
        <f>HYPERLINK("http://www.sah.co.rs/la115-b2-11t-zeleni.html?___store=serbian"," Pogledajte proizvod na sajtu -&gt;")</f>
        <v> Pogledajte proizvod na sajtu -&gt;</v>
      </c>
    </row>
    <row r="58" spans="1:6" ht="12.75">
      <c r="A58" s="2">
        <v>57</v>
      </c>
      <c r="B58" t="s">
        <v>3669</v>
      </c>
      <c r="C58" t="s">
        <v>3670</v>
      </c>
      <c r="D58" s="2">
        <v>120</v>
      </c>
      <c r="E58" s="2">
        <v>6</v>
      </c>
      <c r="F58" s="3" t="str">
        <f>HYPERLINK("http://www.sah.co.rs/gq38-11eds-yellow-switch-led-220v.html?___store=serbian"," Pogledajte proizvod na sajtu -&gt;")</f>
        <v> Pogledajte proizvod na sajtu -&gt;</v>
      </c>
    </row>
    <row r="59" spans="1:6" ht="12.75">
      <c r="A59" s="2">
        <v>58</v>
      </c>
      <c r="B59" t="s">
        <v>3671</v>
      </c>
      <c r="C59" t="s">
        <v>3672</v>
      </c>
      <c r="D59" s="2">
        <v>83</v>
      </c>
      <c r="E59" s="2">
        <v>3.2</v>
      </c>
      <c r="F59" s="3" t="str">
        <f>HYPERLINK("http://www.sah.co.rs/la115-b2-11td-zuti-led-220v-ac.html?___store=serbian"," Pogledajte proizvod na sajtu -&gt;")</f>
        <v> Pogledajte proizvod na sajtu -&gt;</v>
      </c>
    </row>
    <row r="60" spans="1:6" ht="12.75">
      <c r="A60" s="2">
        <v>59</v>
      </c>
      <c r="B60" t="s">
        <v>3673</v>
      </c>
      <c r="C60" t="s">
        <v>3674</v>
      </c>
      <c r="D60" s="2">
        <v>29</v>
      </c>
      <c r="E60" s="2">
        <v>3.2</v>
      </c>
      <c r="F60" s="3" t="str">
        <f>HYPERLINK("http://www.sah.co.rs/la115-b2-11td-zuti-led-24v-ac-dc.html?___store=serbian"," Pogledajte proizvod na sajtu -&gt;")</f>
        <v> Pogledajte proizvod na sajtu -&gt;</v>
      </c>
    </row>
    <row r="61" spans="1:6" ht="12.75">
      <c r="A61" s="2">
        <v>60</v>
      </c>
      <c r="B61" t="s">
        <v>3675</v>
      </c>
      <c r="C61" t="s">
        <v>3676</v>
      </c>
      <c r="D61" s="2">
        <v>39</v>
      </c>
      <c r="E61" s="2">
        <v>1.2</v>
      </c>
      <c r="F61" s="3" t="str">
        <f>HYPERLINK("http://www.sah.co.rs/la115-c-11al-zuti.html?___store=serbian"," Pogledajte proizvod na sajtu -&gt;")</f>
        <v> Pogledajte proizvod na sajtu -&gt;</v>
      </c>
    </row>
    <row r="62" spans="1:6" ht="12.75">
      <c r="A62" s="2">
        <v>61</v>
      </c>
      <c r="B62" t="s">
        <v>3677</v>
      </c>
      <c r="C62" t="s">
        <v>3678</v>
      </c>
      <c r="D62" s="2">
        <v>165</v>
      </c>
      <c r="E62" s="2">
        <v>2.2</v>
      </c>
      <c r="F62" s="3" t="str">
        <f>HYPERLINK("http://www.sah.co.rs/la115-b2-11t-zuti.html?___store=serbian"," Pogledajte proizvod na sajtu -&gt;")</f>
        <v> Pogledajte proizvod na sajtu -&gt;</v>
      </c>
    </row>
    <row r="63" spans="1:6" ht="12.75">
      <c r="A63" s="2">
        <v>62</v>
      </c>
      <c r="B63" t="s">
        <v>3679</v>
      </c>
      <c r="C63" t="s">
        <v>3680</v>
      </c>
      <c r="D63" s="2">
        <v>47</v>
      </c>
      <c r="E63" s="2">
        <v>3.2</v>
      </c>
      <c r="F63" s="3" t="str">
        <f>HYPERLINK("http://www.sah.co.rs/la115-b2-11mtd-crveni-led-220v-ac.html?___store=serbian"," Pogledajte proizvod na sajtu -&gt;")</f>
        <v> Pogledajte proizvod na sajtu -&gt;</v>
      </c>
    </row>
    <row r="64" spans="1:6" ht="12.75">
      <c r="A64" s="2">
        <v>63</v>
      </c>
      <c r="B64" t="s">
        <v>3681</v>
      </c>
      <c r="C64" t="s">
        <v>3682</v>
      </c>
      <c r="D64" s="2">
        <v>27</v>
      </c>
      <c r="E64" s="2">
        <v>2.2</v>
      </c>
      <c r="F64" s="3" t="str">
        <f>HYPERLINK("http://www.sah.co.rs/la115-b2-11mt-crveni.html?___store=serbian"," Pogledajte proizvod na sajtu -&gt;")</f>
        <v> Pogledajte proizvod na sajtu -&gt;</v>
      </c>
    </row>
    <row r="65" spans="1:6" ht="12.75">
      <c r="A65" s="2">
        <v>64</v>
      </c>
      <c r="B65" t="s">
        <v>3683</v>
      </c>
      <c r="C65" t="s">
        <v>3684</v>
      </c>
      <c r="D65" s="2">
        <v>125</v>
      </c>
      <c r="E65" s="2">
        <v>3.2</v>
      </c>
      <c r="F65" s="3" t="str">
        <f>HYPERLINK("http://www.sah.co.rs/la115-b2-11mtd-zeleni-led-220v-ac.html?___store=serbian"," Pogledajte proizvod na sajtu -&gt;")</f>
        <v> Pogledajte proizvod na sajtu -&gt;</v>
      </c>
    </row>
    <row r="66" spans="1:6" ht="12.75">
      <c r="A66" s="2">
        <v>65</v>
      </c>
      <c r="B66" t="s">
        <v>3685</v>
      </c>
      <c r="C66" t="s">
        <v>3686</v>
      </c>
      <c r="D66" s="2">
        <v>64</v>
      </c>
      <c r="E66" s="2">
        <v>2.2</v>
      </c>
      <c r="F66" s="3" t="str">
        <f>HYPERLINK("http://www.sah.co.rs/la115-b2-11mt-zeleni.html?___store=serbian"," Pogledajte proizvod na sajtu -&gt;")</f>
        <v> Pogledajte proizvod na sajtu -&gt;</v>
      </c>
    </row>
    <row r="67" spans="1:6" ht="12.75">
      <c r="A67" s="2">
        <v>66</v>
      </c>
      <c r="B67" t="s">
        <v>3687</v>
      </c>
      <c r="C67" t="s">
        <v>3688</v>
      </c>
      <c r="D67" s="2">
        <v>49</v>
      </c>
      <c r="E67" s="2">
        <v>8</v>
      </c>
      <c r="F67" s="3" t="str">
        <f>HYPERLINK("http://www.sah.co.rs/mp019h-ts11-sve-stop.html?___store=serbian"," Pogledajte proizvod na sajtu -&gt;")</f>
        <v> Pogledajte proizvod na sajtu -&gt;</v>
      </c>
    </row>
    <row r="68" spans="1:6" ht="12.75">
      <c r="A68" s="2">
        <v>67</v>
      </c>
      <c r="B68" t="s">
        <v>3689</v>
      </c>
      <c r="C68" t="s">
        <v>3690</v>
      </c>
      <c r="D68" s="2">
        <v>172</v>
      </c>
      <c r="E68" s="2">
        <v>1.6</v>
      </c>
      <c r="F68" s="3" t="str">
        <f>HYPERLINK("http://www.sah.co.rs/hb2-bs542-sve-stop.html?___store=serbian"," Pogledajte proizvod na sajtu -&gt;")</f>
        <v> Pogledajte proizvod na sajtu -&gt;</v>
      </c>
    </row>
    <row r="69" spans="1:6" ht="12.75">
      <c r="A69" s="2">
        <v>68</v>
      </c>
      <c r="B69" t="s">
        <v>3691</v>
      </c>
      <c r="C69" t="s">
        <v>3692</v>
      </c>
      <c r="D69" s="2">
        <v>115</v>
      </c>
      <c r="E69" s="2">
        <v>2.5</v>
      </c>
      <c r="F69" s="3" t="str">
        <f>HYPERLINK("http://www.sah.co.rs/la115-b2-11z-sve-stop.html?___store=serbian"," Pogledajte proizvod na sajtu -&gt;")</f>
        <v> Pogledajte proizvod na sajtu -&gt;</v>
      </c>
    </row>
    <row r="70" spans="1:6" ht="12.75">
      <c r="A70" s="2">
        <v>69</v>
      </c>
      <c r="B70" t="s">
        <v>3693</v>
      </c>
      <c r="C70" t="s">
        <v>3694</v>
      </c>
      <c r="D70" s="2">
        <v>50</v>
      </c>
      <c r="E70" s="2">
        <v>10</v>
      </c>
      <c r="F70" s="3" t="str">
        <f>HYPERLINK("http://www.sah.co.rs/mp022b-ts11-sve-stop.html?___store=serbian"," Pogledajte proizvod na sajtu -&gt;")</f>
        <v> Pogledajte proizvod na sajtu -&gt;</v>
      </c>
    </row>
    <row r="71" spans="1:6" ht="12.75">
      <c r="A71" s="2">
        <v>70</v>
      </c>
      <c r="B71" t="s">
        <v>3695</v>
      </c>
      <c r="C71" t="s">
        <v>3696</v>
      </c>
      <c r="D71" s="2">
        <v>0</v>
      </c>
      <c r="E71" s="2">
        <v>2</v>
      </c>
      <c r="F71" s="3" t="str">
        <f>HYPERLINK("http://www.sah.co.rs/la115-b2-11cxs.html?___store=serbian"," Pogledajte proizvod na sajtu -&gt;")</f>
        <v> Pogledajte proizvod na sajtu -&gt;</v>
      </c>
    </row>
    <row r="72" spans="1:6" ht="12.75">
      <c r="A72" s="2">
        <v>71</v>
      </c>
      <c r="B72" t="s">
        <v>3697</v>
      </c>
      <c r="C72" t="s">
        <v>3696</v>
      </c>
      <c r="D72" s="2">
        <v>145</v>
      </c>
      <c r="E72" s="2">
        <v>2</v>
      </c>
      <c r="F72" s="3" t="str">
        <f>HYPERLINK("http://www.sah.co.rs/la115-b2-11xs.html?___store=serbian"," Pogledajte proizvod na sajtu -&gt;")</f>
        <v> Pogledajte proizvod na sajtu -&gt;</v>
      </c>
    </row>
    <row r="73" spans="1:6" ht="12.75">
      <c r="A73" s="2">
        <v>72</v>
      </c>
      <c r="B73" t="s">
        <v>3698</v>
      </c>
      <c r="C73" t="s">
        <v>3699</v>
      </c>
      <c r="D73" s="2">
        <v>150</v>
      </c>
      <c r="E73" s="2">
        <v>2</v>
      </c>
      <c r="F73" s="3" t="str">
        <f>HYPERLINK("http://www.sah.co.rs/la115-b2-20cxs.html?___store=serbian"," Pogledajte proizvod na sajtu -&gt;")</f>
        <v> Pogledajte proizvod na sajtu -&gt;</v>
      </c>
    </row>
    <row r="74" spans="1:6" ht="12.75">
      <c r="A74" s="2">
        <v>73</v>
      </c>
      <c r="B74" t="s">
        <v>3700</v>
      </c>
      <c r="C74" t="s">
        <v>3701</v>
      </c>
      <c r="D74" s="2">
        <v>99</v>
      </c>
      <c r="E74" s="2">
        <v>3.5</v>
      </c>
      <c r="F74" s="3" t="str">
        <f>HYPERLINK("http://www.sah.co.rs/hb2-bk3465-crveni-led-220v-ac.html?___store=serbian"," Pogledajte proizvod na sajtu -&gt;")</f>
        <v> Pogledajte proizvod na sajtu -&gt;</v>
      </c>
    </row>
    <row r="75" spans="1:6" ht="12.75">
      <c r="A75" s="2">
        <v>74</v>
      </c>
      <c r="B75" t="s">
        <v>3702</v>
      </c>
      <c r="C75" t="s">
        <v>3703</v>
      </c>
      <c r="D75" s="2">
        <v>62</v>
      </c>
      <c r="E75" s="2">
        <v>3.2</v>
      </c>
      <c r="F75" s="3" t="str">
        <f>HYPERLINK("http://www.sah.co.rs/la115-b2-11xsd-crveni-led-220v-ac.html?___store=serbian"," Pogledajte proizvod na sajtu -&gt;")</f>
        <v> Pogledajte proizvod na sajtu -&gt;</v>
      </c>
    </row>
    <row r="76" spans="1:6" ht="12.75">
      <c r="A76" s="2">
        <v>75</v>
      </c>
      <c r="B76" t="s">
        <v>3704</v>
      </c>
      <c r="C76" t="s">
        <v>3703</v>
      </c>
      <c r="D76" s="2">
        <v>187</v>
      </c>
      <c r="E76" s="2">
        <v>3.2</v>
      </c>
      <c r="F76" s="3" t="str">
        <f>HYPERLINK("http://www.sah.co.rs/la115-b2-11cxsd-crveni-led-220v-ac.html?___store=serbian"," Pogledajte proizvod na sajtu -&gt;")</f>
        <v> Pogledajte proizvod na sajtu -&gt;</v>
      </c>
    </row>
    <row r="77" spans="1:6" ht="12.75">
      <c r="A77" s="2">
        <v>76</v>
      </c>
      <c r="B77" t="s">
        <v>3705</v>
      </c>
      <c r="C77" t="s">
        <v>3706</v>
      </c>
      <c r="D77" s="2">
        <v>11</v>
      </c>
      <c r="E77" s="2">
        <v>8</v>
      </c>
      <c r="F77" s="3" t="str">
        <f>HYPERLINK("http://www.sah.co.rs/mp019s-x11-3-crveni-led-24v.html?___store=serbian"," Pogledajte proizvod na sajtu -&gt;")</f>
        <v> Pogledajte proizvod na sajtu -&gt;</v>
      </c>
    </row>
    <row r="78" spans="1:6" ht="12.75">
      <c r="A78" s="2">
        <v>77</v>
      </c>
      <c r="B78" t="s">
        <v>3707</v>
      </c>
      <c r="C78" t="s">
        <v>3708</v>
      </c>
      <c r="D78" s="2">
        <v>42</v>
      </c>
      <c r="E78" s="2">
        <v>3.2</v>
      </c>
      <c r="F78" s="3" t="str">
        <f>HYPERLINK("http://www.sah.co.rs/la115-b2-11xsd-crveni-led-24v-ac-dc.html?___store=serbian"," Pogledajte proizvod na sajtu -&gt;")</f>
        <v> Pogledajte proizvod na sajtu -&gt;</v>
      </c>
    </row>
    <row r="79" spans="1:6" ht="12.75">
      <c r="A79" s="2">
        <v>78</v>
      </c>
      <c r="B79" t="s">
        <v>3709</v>
      </c>
      <c r="C79" t="s">
        <v>3708</v>
      </c>
      <c r="D79" s="2">
        <v>82</v>
      </c>
      <c r="E79" s="2">
        <v>3.2</v>
      </c>
      <c r="F79" s="3" t="str">
        <f>HYPERLINK("http://www.sah.co.rs/la115-b2-11cxsd-crveni-led-24v-ac-dc.html?___store=serbian"," Pogledajte proizvod na sajtu -&gt;")</f>
        <v> Pogledajte proizvod na sajtu -&gt;</v>
      </c>
    </row>
    <row r="80" spans="1:6" ht="12.75">
      <c r="A80" s="2">
        <v>79</v>
      </c>
      <c r="B80" t="s">
        <v>3710</v>
      </c>
      <c r="C80" t="s">
        <v>3711</v>
      </c>
      <c r="D80" s="2">
        <v>0</v>
      </c>
      <c r="E80" s="2">
        <v>3.5</v>
      </c>
      <c r="F80" s="3" t="str">
        <f>HYPERLINK("http://www.sah.co.rs/hb2-bk3365-zeleni-led-220v-ac.html?___store=serbian"," Pogledajte proizvod na sajtu -&gt;")</f>
        <v> Pogledajte proizvod na sajtu -&gt;</v>
      </c>
    </row>
    <row r="81" spans="1:6" ht="12.75">
      <c r="A81" s="2">
        <v>80</v>
      </c>
      <c r="B81" t="s">
        <v>3712</v>
      </c>
      <c r="C81" t="s">
        <v>3713</v>
      </c>
      <c r="D81" s="2">
        <v>84</v>
      </c>
      <c r="E81" s="2">
        <v>3.2</v>
      </c>
      <c r="F81" s="3" t="str">
        <f>HYPERLINK("http://www.sah.co.rs/la115-b2-11xsd-zeleni-led-220v-ac.html?___store=serbian"," Pogledajte proizvod na sajtu -&gt;")</f>
        <v> Pogledajte proizvod na sajtu -&gt;</v>
      </c>
    </row>
    <row r="82" spans="1:6" ht="12.75">
      <c r="A82" s="2">
        <v>81</v>
      </c>
      <c r="B82" t="s">
        <v>3714</v>
      </c>
      <c r="C82" t="s">
        <v>3713</v>
      </c>
      <c r="D82" s="2">
        <v>21</v>
      </c>
      <c r="E82" s="2">
        <v>3.2</v>
      </c>
      <c r="F82" s="3" t="str">
        <f>HYPERLINK("http://www.sah.co.rs/la115-b2-11cxsd-zeleni-led-220v-ac.html?___store=serbian"," Pogledajte proizvod na sajtu -&gt;")</f>
        <v> Pogledajte proizvod na sajtu -&gt;</v>
      </c>
    </row>
    <row r="83" spans="1:6" ht="12.75">
      <c r="A83" s="2">
        <v>82</v>
      </c>
      <c r="B83" t="s">
        <v>3715</v>
      </c>
      <c r="C83" t="s">
        <v>3716</v>
      </c>
      <c r="D83" s="2">
        <v>10</v>
      </c>
      <c r="E83" s="2">
        <v>8</v>
      </c>
      <c r="F83" s="3" t="str">
        <f>HYPERLINK("http://www.sah.co.rs/mp019s-x11-3-zeleni-led-24v.html?___store=serbian"," Pogledajte proizvod na sajtu -&gt;")</f>
        <v> Pogledajte proizvod na sajtu -&gt;</v>
      </c>
    </row>
    <row r="84" spans="1:6" ht="12.75">
      <c r="A84" s="2">
        <v>83</v>
      </c>
      <c r="B84" t="s">
        <v>3717</v>
      </c>
      <c r="C84" t="s">
        <v>3718</v>
      </c>
      <c r="D84" s="2">
        <v>1</v>
      </c>
      <c r="E84" s="2">
        <v>3.2</v>
      </c>
      <c r="F84" s="3" t="str">
        <f>HYPERLINK("http://www.sah.co.rs/la115-b2-11cxsd-zeleni-led-24v-ac-dc.html?___store=serbian"," Pogledajte proizvod na sajtu -&gt;")</f>
        <v> Pogledajte proizvod na sajtu -&gt;</v>
      </c>
    </row>
    <row r="85" spans="1:6" ht="12.75">
      <c r="A85" s="2">
        <v>84</v>
      </c>
      <c r="B85" t="s">
        <v>3719</v>
      </c>
      <c r="C85" t="s">
        <v>3718</v>
      </c>
      <c r="D85" s="2">
        <v>53</v>
      </c>
      <c r="E85" s="2">
        <v>3.2</v>
      </c>
      <c r="F85" s="3" t="str">
        <f>HYPERLINK("http://www.sah.co.rs/la115-b2-11xsd-zeleni-led-24v-ac-dc.html?___store=serbian"," Pogledajte proizvod na sajtu -&gt;")</f>
        <v> Pogledajte proizvod na sajtu -&gt;</v>
      </c>
    </row>
    <row r="86" spans="1:6" ht="12.75">
      <c r="A86" s="2">
        <v>85</v>
      </c>
      <c r="B86" t="s">
        <v>3720</v>
      </c>
      <c r="C86" t="s">
        <v>3721</v>
      </c>
      <c r="D86" s="2">
        <v>75</v>
      </c>
      <c r="E86" s="2">
        <v>3.2</v>
      </c>
      <c r="F86" s="3" t="str">
        <f>HYPERLINK("http://www.sah.co.rs/la115-b2-20cxsd-zeleni-led-24v-ac-dc.html?___store=serbian"," Pogledajte proizvod na sajtu -&gt;")</f>
        <v> Pogledajte proizvod na sajtu -&gt;</v>
      </c>
    </row>
    <row r="87" spans="1:6" ht="12.75">
      <c r="A87" s="2">
        <v>86</v>
      </c>
      <c r="B87" t="s">
        <v>3722</v>
      </c>
      <c r="C87" t="s">
        <v>3723</v>
      </c>
      <c r="D87" s="2">
        <v>87</v>
      </c>
      <c r="E87" s="2">
        <v>3.5</v>
      </c>
      <c r="F87" s="3" t="str">
        <f>HYPERLINK("http://www.sah.co.rs/hb2-bk3565-zuti-led-220v-ac.html?___store=serbian"," Pogledajte proizvod na sajtu -&gt;")</f>
        <v> Pogledajte proizvod na sajtu -&gt;</v>
      </c>
    </row>
    <row r="88" spans="1:6" ht="12.75">
      <c r="A88" s="2">
        <v>87</v>
      </c>
      <c r="B88" t="s">
        <v>3724</v>
      </c>
      <c r="C88" t="s">
        <v>3725</v>
      </c>
      <c r="D88" s="2">
        <v>136</v>
      </c>
      <c r="E88" s="2">
        <v>3.2</v>
      </c>
      <c r="F88" s="3" t="str">
        <f>HYPERLINK("http://www.sah.co.rs/la115-b2-11xsd-zuti-led-220v-ac.html?___store=serbian"," Pogledajte proizvod na sajtu -&gt;")</f>
        <v> Pogledajte proizvod na sajtu -&gt;</v>
      </c>
    </row>
    <row r="89" spans="1:6" ht="12.75">
      <c r="A89" s="2">
        <v>88</v>
      </c>
      <c r="B89" t="s">
        <v>3726</v>
      </c>
      <c r="C89" t="s">
        <v>3725</v>
      </c>
      <c r="D89" s="2">
        <v>74</v>
      </c>
      <c r="E89" s="2">
        <v>3.2</v>
      </c>
      <c r="F89" s="3" t="str">
        <f>HYPERLINK("http://www.sah.co.rs/la115-b2-11cxsd-zuti-led-220v-ac.html?___store=serbian"," Pogledajte proizvod na sajtu -&gt;")</f>
        <v> Pogledajte proizvod na sajtu -&gt;</v>
      </c>
    </row>
    <row r="90" spans="1:6" ht="12.75">
      <c r="A90" s="2">
        <v>89</v>
      </c>
      <c r="B90" t="s">
        <v>3727</v>
      </c>
      <c r="C90" t="s">
        <v>3728</v>
      </c>
      <c r="D90" s="2">
        <v>19</v>
      </c>
      <c r="E90" s="2">
        <v>8</v>
      </c>
      <c r="F90" s="3" t="str">
        <f>HYPERLINK("http://www.sah.co.rs/mp019s-x11-3-zuti-led-24v.html?___store=serbian"," Pogledajte proizvod na sajtu -&gt;")</f>
        <v> Pogledajte proizvod na sajtu -&gt;</v>
      </c>
    </row>
    <row r="91" spans="1:6" ht="12.75">
      <c r="A91" s="2">
        <v>90</v>
      </c>
      <c r="B91" t="s">
        <v>3729</v>
      </c>
      <c r="C91" t="s">
        <v>3730</v>
      </c>
      <c r="D91" s="2">
        <v>62</v>
      </c>
      <c r="E91" s="2">
        <v>3.2</v>
      </c>
      <c r="F91" s="3" t="str">
        <f>HYPERLINK("http://www.sah.co.rs/la115-b2-11cxsd-zuti-led-24v-ac-dc.html?___store=serbian"," Pogledajte proizvod na sajtu -&gt;")</f>
        <v> Pogledajte proizvod na sajtu -&gt;</v>
      </c>
    </row>
    <row r="92" spans="1:6" ht="12.75">
      <c r="A92" s="2">
        <v>91</v>
      </c>
      <c r="B92" t="s">
        <v>3731</v>
      </c>
      <c r="C92" t="s">
        <v>3730</v>
      </c>
      <c r="D92" s="2">
        <v>48</v>
      </c>
      <c r="E92" s="2">
        <v>3.2</v>
      </c>
      <c r="F92" s="3" t="str">
        <f>HYPERLINK("http://www.sah.co.rs/la115-b2-11xsd-zuti-led-24v-ac-dc.html?___store=serbian"," Pogledajte proizvod na sajtu -&gt;")</f>
        <v> Pogledajte proizvod na sajtu -&gt;</v>
      </c>
    </row>
    <row r="93" spans="1:6" ht="12.75">
      <c r="A93" s="2">
        <v>92</v>
      </c>
      <c r="B93" t="s">
        <v>3732</v>
      </c>
      <c r="C93" t="s">
        <v>3733</v>
      </c>
      <c r="D93" s="2">
        <v>36</v>
      </c>
      <c r="E93" s="2">
        <v>3.5</v>
      </c>
      <c r="F93" s="3" t="str">
        <f>HYPERLINK("http://www.sah.co.rs/la115-c-22xa.html?___store=serbian"," Pogledajte proizvod na sajtu -&gt;")</f>
        <v> Pogledajte proizvod na sajtu -&gt;</v>
      </c>
    </row>
    <row r="94" spans="1:6" ht="12.75">
      <c r="A94" s="2">
        <v>93</v>
      </c>
      <c r="B94" t="s">
        <v>3734</v>
      </c>
      <c r="C94" t="s">
        <v>3735</v>
      </c>
      <c r="D94" s="2">
        <v>83</v>
      </c>
      <c r="E94" s="2">
        <v>2.5</v>
      </c>
      <c r="F94" s="3" t="str">
        <f>HYPERLINK("http://www.sah.co.rs/gxb2-bd33.html?___store=serbian"," Pogledajte proizvod na sajtu -&gt;")</f>
        <v> Pogledajte proizvod na sajtu -&gt;</v>
      </c>
    </row>
    <row r="95" spans="1:6" ht="12.75">
      <c r="A95" s="2">
        <v>94</v>
      </c>
      <c r="B95" t="s">
        <v>3736</v>
      </c>
      <c r="C95" t="s">
        <v>3735</v>
      </c>
      <c r="D95" s="2">
        <v>313</v>
      </c>
      <c r="E95" s="2">
        <v>1.7</v>
      </c>
      <c r="F95" s="3" t="str">
        <f>HYPERLINK("http://www.sah.co.rs/hb2-bd33.html?___store=serbian"," Pogledajte proizvod na sajtu -&gt;")</f>
        <v> Pogledajte proizvod na sajtu -&gt;</v>
      </c>
    </row>
    <row r="96" spans="1:6" ht="12.75">
      <c r="A96" s="2">
        <v>95</v>
      </c>
      <c r="B96" t="s">
        <v>3737</v>
      </c>
      <c r="C96" t="s">
        <v>3735</v>
      </c>
      <c r="D96" s="2">
        <v>210</v>
      </c>
      <c r="E96" s="2">
        <v>2.5</v>
      </c>
      <c r="F96" s="3" t="str">
        <f>HYPERLINK("http://www.sah.co.rs/gxb2-bj33.html?___store=serbian"," Pogledajte proizvod na sajtu -&gt;")</f>
        <v> Pogledajte proizvod na sajtu -&gt;</v>
      </c>
    </row>
    <row r="97" spans="1:6" ht="12.75">
      <c r="A97" s="2">
        <v>96</v>
      </c>
      <c r="B97" t="s">
        <v>3738</v>
      </c>
      <c r="C97" t="s">
        <v>3735</v>
      </c>
      <c r="D97" s="2">
        <v>283</v>
      </c>
      <c r="E97" s="2">
        <v>1.7</v>
      </c>
      <c r="F97" s="3" t="str">
        <f>HYPERLINK("http://www.sah.co.rs/hb2-bj33.html?___store=serbian"," Pogledajte proizvod na sajtu -&gt;")</f>
        <v> Pogledajte proizvod na sajtu -&gt;</v>
      </c>
    </row>
    <row r="98" spans="1:6" ht="12.75">
      <c r="A98" s="2">
        <v>97</v>
      </c>
      <c r="B98" t="s">
        <v>3739</v>
      </c>
      <c r="C98" t="s">
        <v>3740</v>
      </c>
      <c r="D98" s="2">
        <v>60</v>
      </c>
      <c r="E98" s="2">
        <v>3</v>
      </c>
      <c r="F98" s="3" t="str">
        <f>HYPERLINK("http://www.sah.co.rs/la115-b2-11cxd-beli-led-220v-ac.html?___store=serbian"," Pogledajte proizvod na sajtu -&gt;")</f>
        <v> Pogledajte proizvod na sajtu -&gt;</v>
      </c>
    </row>
    <row r="99" spans="1:6" ht="12.75">
      <c r="A99" s="2">
        <v>98</v>
      </c>
      <c r="B99" t="s">
        <v>3741</v>
      </c>
      <c r="C99" t="s">
        <v>3742</v>
      </c>
      <c r="D99" s="2">
        <v>91</v>
      </c>
      <c r="E99" s="2">
        <v>3</v>
      </c>
      <c r="F99" s="3" t="str">
        <f>HYPERLINK("http://www.sah.co.rs/la115-b2-11cxd-beli-led-24v-ac-dc.html?___store=serbian"," Pogledajte proizvod na sajtu -&gt;")</f>
        <v> Pogledajte proizvod na sajtu -&gt;</v>
      </c>
    </row>
    <row r="100" spans="1:6" ht="12.75">
      <c r="A100" s="2">
        <v>99</v>
      </c>
      <c r="B100" t="s">
        <v>3743</v>
      </c>
      <c r="C100" t="s">
        <v>3744</v>
      </c>
      <c r="D100" s="2">
        <v>235</v>
      </c>
      <c r="E100" s="2">
        <v>2</v>
      </c>
      <c r="F100" s="3" t="str">
        <f>HYPERLINK("http://www.sah.co.rs/la115-b2-11cx.html?___store=serbian"," Pogledajte proizvod na sajtu -&gt;")</f>
        <v> Pogledajte proizvod na sajtu -&gt;</v>
      </c>
    </row>
    <row r="101" spans="1:6" ht="12.75">
      <c r="A101" s="2">
        <v>100</v>
      </c>
      <c r="B101" t="s">
        <v>3745</v>
      </c>
      <c r="C101" t="s">
        <v>3744</v>
      </c>
      <c r="D101" s="2">
        <v>90</v>
      </c>
      <c r="E101" s="2">
        <v>2</v>
      </c>
      <c r="F101" s="3" t="str">
        <f>HYPERLINK("http://www.sah.co.rs/la115-b2-11x.html?___store=serbian"," Pogledajte proizvod na sajtu -&gt;")</f>
        <v> Pogledajte proizvod na sajtu -&gt;</v>
      </c>
    </row>
    <row r="102" spans="1:6" ht="12.75">
      <c r="A102" s="2">
        <v>101</v>
      </c>
      <c r="B102" t="s">
        <v>3746</v>
      </c>
      <c r="C102" t="s">
        <v>3747</v>
      </c>
      <c r="D102" s="2">
        <v>198</v>
      </c>
      <c r="E102" s="2">
        <v>2</v>
      </c>
      <c r="F102" s="3" t="str">
        <f>HYPERLINK("http://www.sah.co.rs/la115-b2-20cx.html?___store=serbian"," Pogledajte proizvod na sajtu -&gt;")</f>
        <v> Pogledajte proizvod na sajtu -&gt;</v>
      </c>
    </row>
    <row r="103" spans="1:6" ht="12.75">
      <c r="A103" s="2">
        <v>102</v>
      </c>
      <c r="B103" t="s">
        <v>3748</v>
      </c>
      <c r="C103" t="s">
        <v>3749</v>
      </c>
      <c r="D103" s="2">
        <v>45</v>
      </c>
      <c r="E103" s="2">
        <v>3.2</v>
      </c>
      <c r="F103" s="3" t="str">
        <f>HYPERLINK("http://www.sah.co.rs/hb2-bk2465-crveni-led-220v-ac.html?___store=serbian"," Pogledajte proizvod na sajtu -&gt;")</f>
        <v> Pogledajte proizvod na sajtu -&gt;</v>
      </c>
    </row>
    <row r="104" spans="1:6" ht="12.75">
      <c r="A104" s="2">
        <v>103</v>
      </c>
      <c r="B104" t="s">
        <v>3750</v>
      </c>
      <c r="C104" t="s">
        <v>3751</v>
      </c>
      <c r="D104" s="2">
        <v>196</v>
      </c>
      <c r="E104" s="2">
        <v>3</v>
      </c>
      <c r="F104" s="3" t="str">
        <f>HYPERLINK("http://www.sah.co.rs/la115-b2-11cxd-crveni-led-220v-ac.html?___store=serbian"," Pogledajte proizvod na sajtu -&gt;")</f>
        <v> Pogledajte proizvod na sajtu -&gt;</v>
      </c>
    </row>
    <row r="105" spans="1:6" ht="12.75">
      <c r="A105" s="2">
        <v>104</v>
      </c>
      <c r="B105" t="s">
        <v>3752</v>
      </c>
      <c r="C105" t="s">
        <v>3751</v>
      </c>
      <c r="D105" s="2">
        <v>24</v>
      </c>
      <c r="E105" s="2">
        <v>3</v>
      </c>
      <c r="F105" s="3" t="str">
        <f>HYPERLINK("http://www.sah.co.rs/la115-b2-11xd-crveni-led-220v-ac.html?___store=serbian"," Pogledajte proizvod na sajtu -&gt;")</f>
        <v> Pogledajte proizvod na sajtu -&gt;</v>
      </c>
    </row>
    <row r="106" spans="1:6" ht="12.75">
      <c r="A106" s="2">
        <v>105</v>
      </c>
      <c r="B106" t="s">
        <v>3753</v>
      </c>
      <c r="C106" t="s">
        <v>3754</v>
      </c>
      <c r="D106" s="2">
        <v>21</v>
      </c>
      <c r="E106" s="2">
        <v>7</v>
      </c>
      <c r="F106" s="3" t="str">
        <f>HYPERLINK("http://www.sah.co.rs/mp019s-x11-2-crveni-led-24v.html?___store=serbian"," Pogledajte proizvod na sajtu -&gt;")</f>
        <v> Pogledajte proizvod na sajtu -&gt;</v>
      </c>
    </row>
    <row r="107" spans="1:6" ht="12.75">
      <c r="A107" s="2">
        <v>106</v>
      </c>
      <c r="B107" t="s">
        <v>3755</v>
      </c>
      <c r="C107" t="s">
        <v>3756</v>
      </c>
      <c r="D107" s="2">
        <v>109</v>
      </c>
      <c r="E107" s="2">
        <v>3</v>
      </c>
      <c r="F107" s="3" t="str">
        <f>HYPERLINK("http://www.sah.co.rs/la115-b2-11cxd-crveni-led-24v-ac-dc.html?___store=serbian"," Pogledajte proizvod na sajtu -&gt;")</f>
        <v> Pogledajte proizvod na sajtu -&gt;</v>
      </c>
    </row>
    <row r="108" spans="1:6" ht="12.75">
      <c r="A108" s="2">
        <v>107</v>
      </c>
      <c r="B108" t="s">
        <v>3757</v>
      </c>
      <c r="C108" t="s">
        <v>3756</v>
      </c>
      <c r="D108" s="2">
        <v>58</v>
      </c>
      <c r="E108" s="2">
        <v>3</v>
      </c>
      <c r="F108" s="3" t="str">
        <f>HYPERLINK("http://www.sah.co.rs/la115-b2-11xd-crveni-led-24v-ac-dc.html?___store=serbian"," Pogledajte proizvod na sajtu -&gt;")</f>
        <v> Pogledajte proizvod na sajtu -&gt;</v>
      </c>
    </row>
    <row r="109" spans="1:6" ht="12.75">
      <c r="A109" s="2">
        <v>108</v>
      </c>
      <c r="B109" t="s">
        <v>3758</v>
      </c>
      <c r="C109" t="s">
        <v>3759</v>
      </c>
      <c r="D109" s="2">
        <v>30</v>
      </c>
      <c r="E109" s="2">
        <v>3</v>
      </c>
      <c r="F109" s="3" t="str">
        <f>HYPERLINK("http://www.sah.co.rs/la115-b2-11cxd-plavi-led-220v-ac.html?___store=serbian"," Pogledajte proizvod na sajtu -&gt;")</f>
        <v> Pogledajte proizvod na sajtu -&gt;</v>
      </c>
    </row>
    <row r="110" spans="1:6" ht="12.75">
      <c r="A110" s="2">
        <v>109</v>
      </c>
      <c r="B110" t="s">
        <v>3760</v>
      </c>
      <c r="C110" t="s">
        <v>3761</v>
      </c>
      <c r="D110" s="2">
        <v>44</v>
      </c>
      <c r="E110" s="2">
        <v>3</v>
      </c>
      <c r="F110" s="3" t="str">
        <f>HYPERLINK("http://www.sah.co.rs/la115-b2-11cxd-plavi-led-24v-ac-dc.html?___store=serbian"," Pogledajte proizvod na sajtu -&gt;")</f>
        <v> Pogledajte proizvod na sajtu -&gt;</v>
      </c>
    </row>
    <row r="111" spans="1:6" ht="12.75">
      <c r="A111" s="2">
        <v>110</v>
      </c>
      <c r="B111" t="s">
        <v>3762</v>
      </c>
      <c r="C111" t="s">
        <v>3763</v>
      </c>
      <c r="D111" s="2">
        <v>4</v>
      </c>
      <c r="E111" s="2">
        <v>3.2</v>
      </c>
      <c r="F111" s="3" t="str">
        <f>HYPERLINK("http://www.sah.co.rs/hb2-bk2365-zeleni-led-220v-ac.html?___store=serbian"," Pogledajte proizvod na sajtu -&gt;")</f>
        <v> Pogledajte proizvod na sajtu -&gt;</v>
      </c>
    </row>
    <row r="112" spans="1:6" ht="12.75">
      <c r="A112" s="2">
        <v>111</v>
      </c>
      <c r="B112" t="s">
        <v>3764</v>
      </c>
      <c r="C112" t="s">
        <v>3765</v>
      </c>
      <c r="D112" s="2">
        <v>41</v>
      </c>
      <c r="E112" s="2">
        <v>3</v>
      </c>
      <c r="F112" s="3" t="str">
        <f>HYPERLINK("http://www.sah.co.rs/la115-b2-11xd-zeleni-led-220v-ac.html?___store=serbian"," Pogledajte proizvod na sajtu -&gt;")</f>
        <v> Pogledajte proizvod na sajtu -&gt;</v>
      </c>
    </row>
    <row r="113" spans="1:6" ht="12.75">
      <c r="A113" s="2">
        <v>112</v>
      </c>
      <c r="B113" t="s">
        <v>3766</v>
      </c>
      <c r="C113" t="s">
        <v>3765</v>
      </c>
      <c r="D113" s="2">
        <v>4</v>
      </c>
      <c r="E113" s="2">
        <v>3</v>
      </c>
      <c r="F113" s="3" t="str">
        <f>HYPERLINK("http://www.sah.co.rs/la115-b2-11cxd-zeleni-led-220v-ac.html?___store=serbian"," Pogledajte proizvod na sajtu -&gt;")</f>
        <v> Pogledajte proizvod na sajtu -&gt;</v>
      </c>
    </row>
    <row r="114" spans="1:6" ht="12.75">
      <c r="A114" s="2">
        <v>113</v>
      </c>
      <c r="B114" t="s">
        <v>3767</v>
      </c>
      <c r="C114" t="s">
        <v>3768</v>
      </c>
      <c r="D114" s="2">
        <v>20</v>
      </c>
      <c r="E114" s="2">
        <v>7</v>
      </c>
      <c r="F114" s="3" t="str">
        <f>HYPERLINK("http://www.sah.co.rs/mp019s-x11-2-zeleni-led-24v.html?___store=serbian"," Pogledajte proizvod na sajtu -&gt;")</f>
        <v> Pogledajte proizvod na sajtu -&gt;</v>
      </c>
    </row>
    <row r="115" spans="1:6" ht="12.75">
      <c r="A115" s="2">
        <v>114</v>
      </c>
      <c r="B115" t="s">
        <v>3769</v>
      </c>
      <c r="C115" t="s">
        <v>3770</v>
      </c>
      <c r="D115" s="2">
        <v>43</v>
      </c>
      <c r="E115" s="2">
        <v>3</v>
      </c>
      <c r="F115" s="3" t="str">
        <f>HYPERLINK("http://www.sah.co.rs/la115-b2-11xd-zeleni-led-24v-ac-dc.html?___store=serbian"," Pogledajte proizvod na sajtu -&gt;")</f>
        <v> Pogledajte proizvod na sajtu -&gt;</v>
      </c>
    </row>
    <row r="116" spans="1:6" ht="12.75">
      <c r="A116" s="2">
        <v>115</v>
      </c>
      <c r="B116" t="s">
        <v>3771</v>
      </c>
      <c r="C116" t="s">
        <v>3770</v>
      </c>
      <c r="D116" s="2">
        <v>150</v>
      </c>
      <c r="E116" s="2">
        <v>3</v>
      </c>
      <c r="F116" s="3" t="str">
        <f>HYPERLINK("http://www.sah.co.rs/la115-b2-11cxd-zeleni-led-24v-ac-dc.html?___store=serbian"," Pogledajte proizvod na sajtu -&gt;")</f>
        <v> Pogledajte proizvod na sajtu -&gt;</v>
      </c>
    </row>
    <row r="117" spans="1:6" ht="12.75">
      <c r="A117" s="2">
        <v>116</v>
      </c>
      <c r="B117" t="s">
        <v>3772</v>
      </c>
      <c r="C117" t="s">
        <v>3773</v>
      </c>
      <c r="D117" s="2">
        <v>68</v>
      </c>
      <c r="E117" s="2">
        <v>3.2</v>
      </c>
      <c r="F117" s="3" t="str">
        <f>HYPERLINK("http://www.sah.co.rs/hb2-bk2565-zuti-led-220v-ac.html?___store=serbian"," Pogledajte proizvod na sajtu -&gt;")</f>
        <v> Pogledajte proizvod na sajtu -&gt;</v>
      </c>
    </row>
    <row r="118" spans="1:6" ht="12.75">
      <c r="A118" s="2">
        <v>117</v>
      </c>
      <c r="B118" t="s">
        <v>3774</v>
      </c>
      <c r="C118" t="s">
        <v>3775</v>
      </c>
      <c r="D118" s="2">
        <v>98</v>
      </c>
      <c r="E118" s="2">
        <v>3</v>
      </c>
      <c r="F118" s="3" t="str">
        <f>HYPERLINK("http://www.sah.co.rs/la115-b2-11cxd-zuti-led-220v-ac.html?___store=serbian"," Pogledajte proizvod na sajtu -&gt;")</f>
        <v> Pogledajte proizvod na sajtu -&gt;</v>
      </c>
    </row>
    <row r="119" spans="1:6" ht="12.75">
      <c r="A119" s="2">
        <v>118</v>
      </c>
      <c r="B119" t="s">
        <v>3776</v>
      </c>
      <c r="C119" t="s">
        <v>3775</v>
      </c>
      <c r="D119" s="2">
        <v>33</v>
      </c>
      <c r="E119" s="2">
        <v>3</v>
      </c>
      <c r="F119" s="3" t="str">
        <f>HYPERLINK("http://www.sah.co.rs/la115-b2-11xd-zuti-led-220v-ac.html?___store=serbian"," Pogledajte proizvod na sajtu -&gt;")</f>
        <v> Pogledajte proizvod na sajtu -&gt;</v>
      </c>
    </row>
    <row r="120" spans="1:6" ht="12.75">
      <c r="A120" s="2">
        <v>119</v>
      </c>
      <c r="B120" t="s">
        <v>3777</v>
      </c>
      <c r="C120" t="s">
        <v>3778</v>
      </c>
      <c r="D120" s="2">
        <v>28</v>
      </c>
      <c r="E120" s="2">
        <v>7</v>
      </c>
      <c r="F120" s="3" t="str">
        <f>HYPERLINK("http://www.sah.co.rs/mp019s-x11-2-zuti-led-24v.html?___store=serbian"," Pogledajte proizvod na sajtu -&gt;")</f>
        <v> Pogledajte proizvod na sajtu -&gt;</v>
      </c>
    </row>
    <row r="121" spans="1:6" ht="12.75">
      <c r="A121" s="2">
        <v>120</v>
      </c>
      <c r="B121" t="s">
        <v>3779</v>
      </c>
      <c r="C121" t="s">
        <v>3780</v>
      </c>
      <c r="D121" s="2">
        <v>163</v>
      </c>
      <c r="E121" s="2">
        <v>3</v>
      </c>
      <c r="F121" s="3" t="str">
        <f>HYPERLINK("http://www.sah.co.rs/la115-b2-11cxd-zuti-led-24v-ac-dc.html?___store=serbian"," Pogledajte proizvod na sajtu -&gt;")</f>
        <v> Pogledajte proizvod na sajtu -&gt;</v>
      </c>
    </row>
    <row r="122" spans="1:6" ht="12.75">
      <c r="A122" s="2">
        <v>121</v>
      </c>
      <c r="B122" t="s">
        <v>3781</v>
      </c>
      <c r="C122" t="s">
        <v>3780</v>
      </c>
      <c r="D122" s="2">
        <v>91</v>
      </c>
      <c r="E122" s="2">
        <v>3</v>
      </c>
      <c r="F122" s="3" t="str">
        <f>HYPERLINK("http://www.sah.co.rs/la115-b2-11xd-zuti-led-24v-ac-dc.html?___store=serbian"," Pogledajte proizvod na sajtu -&gt;")</f>
        <v> Pogledajte proizvod na sajtu -&gt;</v>
      </c>
    </row>
    <row r="123" spans="1:6" ht="12.75">
      <c r="A123" s="2">
        <v>122</v>
      </c>
      <c r="B123" t="s">
        <v>3782</v>
      </c>
      <c r="C123" t="s">
        <v>3783</v>
      </c>
      <c r="D123" s="2">
        <v>67</v>
      </c>
      <c r="E123" s="2">
        <v>3</v>
      </c>
      <c r="F123" s="3" t="str">
        <f>HYPERLINK("http://www.sah.co.rs/la115-c-11xa.html?___store=serbian"," Pogledajte proizvod na sajtu -&gt;")</f>
        <v> Pogledajte proizvod na sajtu -&gt;</v>
      </c>
    </row>
    <row r="124" spans="1:6" ht="12.75">
      <c r="A124" s="2">
        <v>123</v>
      </c>
      <c r="B124" t="s">
        <v>3784</v>
      </c>
      <c r="C124" t="s">
        <v>3785</v>
      </c>
      <c r="D124" s="2">
        <v>292</v>
      </c>
      <c r="E124" s="2">
        <v>1.3</v>
      </c>
      <c r="F124" s="3" t="str">
        <f>HYPERLINK("http://www.sah.co.rs/hb2-bj21.html?___store=serbian"," Pogledajte proizvod na sajtu -&gt;")</f>
        <v> Pogledajte proizvod na sajtu -&gt;</v>
      </c>
    </row>
    <row r="125" spans="1:6" ht="12.75">
      <c r="A125" s="2">
        <v>124</v>
      </c>
      <c r="B125" t="s">
        <v>3786</v>
      </c>
      <c r="C125" t="s">
        <v>3785</v>
      </c>
      <c r="D125" s="2">
        <v>63</v>
      </c>
      <c r="E125" s="2">
        <v>2</v>
      </c>
      <c r="F125" s="3" t="str">
        <f>HYPERLINK("http://www.sah.co.rs/gxb2-bd21.html?___store=serbian"," Pogledajte proizvod na sajtu -&gt;")</f>
        <v> Pogledajte proizvod na sajtu -&gt;</v>
      </c>
    </row>
    <row r="126" spans="1:6" ht="12.75">
      <c r="A126" s="2">
        <v>125</v>
      </c>
      <c r="B126" t="s">
        <v>3787</v>
      </c>
      <c r="C126" t="s">
        <v>3785</v>
      </c>
      <c r="D126" s="2">
        <v>764</v>
      </c>
      <c r="E126" s="2">
        <v>1.3</v>
      </c>
      <c r="F126" s="3" t="str">
        <f>HYPERLINK("http://www.sah.co.rs/hb2-bd21.html?___store=serbian"," Pogledajte proizvod na sajtu -&gt;")</f>
        <v> Pogledajte proizvod na sajtu -&gt;</v>
      </c>
    </row>
    <row r="127" spans="1:6" ht="12.75">
      <c r="A127" s="2">
        <v>126</v>
      </c>
      <c r="B127" t="s">
        <v>3788</v>
      </c>
      <c r="C127" t="s">
        <v>3785</v>
      </c>
      <c r="D127" s="2">
        <v>442</v>
      </c>
      <c r="E127" s="2">
        <v>2</v>
      </c>
      <c r="F127" s="3" t="str">
        <f>HYPERLINK("http://www.sah.co.rs/gxb2-bj21.html?___store=serbian"," Pogledajte proizvod na sajtu -&gt;")</f>
        <v> Pogledajte proizvod na sajtu -&gt;</v>
      </c>
    </row>
    <row r="128" spans="1:6" ht="12.75">
      <c r="A128" s="2">
        <v>127</v>
      </c>
      <c r="B128" t="s">
        <v>3789</v>
      </c>
      <c r="C128" t="s">
        <v>3790</v>
      </c>
      <c r="D128" s="2">
        <v>48</v>
      </c>
      <c r="E128" s="2">
        <v>5</v>
      </c>
      <c r="F128" s="3" t="str">
        <f>HYPERLINK("http://www.sah.co.rs/la115-c-22ya.html?___store=serbian"," Pogledajte proizvod na sajtu -&gt;")</f>
        <v> Pogledajte proizvod na sajtu -&gt;</v>
      </c>
    </row>
    <row r="129" spans="1:6" ht="12.75">
      <c r="A129" s="2">
        <v>128</v>
      </c>
      <c r="B129" t="s">
        <v>3791</v>
      </c>
      <c r="C129" t="s">
        <v>3792</v>
      </c>
      <c r="D129" s="2">
        <v>85</v>
      </c>
      <c r="E129" s="2">
        <v>3</v>
      </c>
      <c r="F129" s="3" t="str">
        <f>HYPERLINK("http://www.sah.co.rs/la115-b2-11ys.html?___store=serbian"," Pogledajte proizvod na sajtu -&gt;")</f>
        <v> Pogledajte proizvod na sajtu -&gt;</v>
      </c>
    </row>
    <row r="130" spans="1:6" ht="12.75">
      <c r="A130" s="2">
        <v>129</v>
      </c>
      <c r="B130" t="s">
        <v>3793</v>
      </c>
      <c r="C130" t="s">
        <v>3794</v>
      </c>
      <c r="D130" s="2">
        <v>0</v>
      </c>
      <c r="E130" s="2">
        <v>2.8</v>
      </c>
      <c r="F130" s="3" t="str">
        <f>HYPERLINK("http://www.sah.co.rs/hb2-bg03.html?___store=serbian"," Pogledajte proizvod na sajtu -&gt;")</f>
        <v> Pogledajte proizvod na sajtu -&gt;</v>
      </c>
    </row>
    <row r="131" spans="1:6" ht="12.75">
      <c r="A131" s="2">
        <v>130</v>
      </c>
      <c r="B131" t="s">
        <v>3795</v>
      </c>
      <c r="C131" t="s">
        <v>3794</v>
      </c>
      <c r="D131" s="2">
        <v>49</v>
      </c>
      <c r="E131" s="2">
        <v>2.8</v>
      </c>
      <c r="F131" s="3" t="str">
        <f>HYPERLINK("http://www.sah.co.rs/hb2-bg33.html?___store=serbian"," Pogledajte proizvod na sajtu -&gt;")</f>
        <v> Pogledajte proizvod na sajtu -&gt;</v>
      </c>
    </row>
    <row r="132" spans="1:6" ht="12.75">
      <c r="A132" s="2">
        <v>131</v>
      </c>
      <c r="B132" t="s">
        <v>3796</v>
      </c>
      <c r="C132" t="s">
        <v>3797</v>
      </c>
      <c r="D132" s="2">
        <v>85</v>
      </c>
      <c r="E132" s="2">
        <v>4</v>
      </c>
      <c r="F132" s="3" t="str">
        <f>HYPERLINK("http://www.sah.co.rs/la115-c-11ya.html?___store=serbian"," Pogledajte proizvod na sajtu -&gt;")</f>
        <v> Pogledajte proizvod na sajtu -&gt;</v>
      </c>
    </row>
    <row r="133" spans="1:6" ht="12.75">
      <c r="A133" s="2">
        <v>132</v>
      </c>
      <c r="B133" t="s">
        <v>3798</v>
      </c>
      <c r="C133" t="s">
        <v>3799</v>
      </c>
      <c r="D133" s="2">
        <v>42</v>
      </c>
      <c r="E133" s="2">
        <v>3</v>
      </c>
      <c r="F133" s="3" t="str">
        <f>HYPERLINK("http://www.sah.co.rs/la115-b2-11y.html?___store=serbian"," Pogledajte proizvod na sajtu -&gt;")</f>
        <v> Pogledajte proizvod na sajtu -&gt;</v>
      </c>
    </row>
    <row r="134" spans="1:6" ht="12.75">
      <c r="A134" s="2">
        <v>133</v>
      </c>
      <c r="B134" t="s">
        <v>3800</v>
      </c>
      <c r="C134" t="s">
        <v>3801</v>
      </c>
      <c r="D134" s="2">
        <v>149</v>
      </c>
      <c r="E134" s="2">
        <v>2.2</v>
      </c>
      <c r="F134" s="3" t="str">
        <f>HYPERLINK("http://www.sah.co.rs/hb2-bg21.html?___store=serbian"," Pogledajte proizvod na sajtu -&gt;")</f>
        <v> Pogledajte proizvod na sajtu -&gt;</v>
      </c>
    </row>
    <row r="135" spans="1:6" ht="12.75">
      <c r="A135" s="2">
        <v>134</v>
      </c>
      <c r="B135" t="s">
        <v>3802</v>
      </c>
      <c r="C135" t="s">
        <v>3801</v>
      </c>
      <c r="D135" s="2">
        <v>0</v>
      </c>
      <c r="E135" s="2">
        <v>2.2</v>
      </c>
      <c r="F135" s="3" t="str">
        <f>HYPERLINK("http://www.sah.co.rs/hb2-bg41.html?___store=serbian"," Pogledajte proizvod na sajtu -&gt;")</f>
        <v> Pogledajte proizvod na sajtu -&gt;</v>
      </c>
    </row>
    <row r="136" spans="1:6" ht="12.75">
      <c r="A136" s="2">
        <v>135</v>
      </c>
      <c r="B136" t="s">
        <v>3803</v>
      </c>
      <c r="C136" t="s">
        <v>3804</v>
      </c>
      <c r="D136" s="2">
        <v>20</v>
      </c>
      <c r="E136" s="2">
        <v>0.6</v>
      </c>
      <c r="F136" s="3" t="str">
        <f>HYPERLINK("http://www.sah.co.rs/kcd1-105-n.html?___store=serbian"," Pogledajte proizvod na sajtu -&gt;")</f>
        <v> Pogledajte proizvod na sajtu -&gt;</v>
      </c>
    </row>
    <row r="137" spans="1:6" ht="12.75">
      <c r="A137" s="2">
        <v>136</v>
      </c>
      <c r="B137" t="s">
        <v>3805</v>
      </c>
      <c r="C137" t="s">
        <v>3806</v>
      </c>
      <c r="D137" s="2">
        <v>8</v>
      </c>
      <c r="E137" s="2">
        <v>2.8</v>
      </c>
      <c r="F137" s="3" t="str">
        <f>HYPERLINK("http://www.sah.co.rs/ds1.html?___store=serbian"," Pogledajte proizvod na sajtu -&gt;")</f>
        <v> Pogledajte proizvod na sajtu -&gt;</v>
      </c>
    </row>
    <row r="138" spans="1:6" ht="12.75">
      <c r="A138" s="2">
        <v>137</v>
      </c>
      <c r="B138" t="s">
        <v>3807</v>
      </c>
      <c r="C138" t="s">
        <v>3808</v>
      </c>
      <c r="D138" s="2">
        <v>10</v>
      </c>
      <c r="E138" s="2">
        <v>2.8</v>
      </c>
      <c r="F138" s="3" t="str">
        <f>HYPERLINK("http://www.sah.co.rs/ds2.html?___store=serbian"," Pogledajte proizvod na sajtu -&gt;")</f>
        <v> Pogledajte proizvod na sajtu -&gt;</v>
      </c>
    </row>
    <row r="139" spans="1:6" ht="12.75">
      <c r="A139" s="2">
        <v>138</v>
      </c>
      <c r="B139" t="s">
        <v>3809</v>
      </c>
      <c r="C139" t="s">
        <v>3810</v>
      </c>
      <c r="D139" s="2">
        <v>1000</v>
      </c>
      <c r="E139" s="2">
        <v>0.2</v>
      </c>
      <c r="F139" s="3" t="str">
        <f>HYPERLINK("http://www.sah.co.rs/dts-24n.html?___store=serbian"," Pogledajte proizvod na sajtu -&gt;")</f>
        <v> Pogledajte proizvod na sajtu -&gt;</v>
      </c>
    </row>
    <row r="140" spans="1:6" ht="12.75">
      <c r="A140" s="2">
        <v>139</v>
      </c>
      <c r="B140" t="s">
        <v>3811</v>
      </c>
      <c r="C140" t="s">
        <v>3812</v>
      </c>
      <c r="D140" s="2">
        <v>112</v>
      </c>
      <c r="E140" s="2">
        <v>5</v>
      </c>
      <c r="F140" s="3" t="str">
        <f>HYPERLINK("http://www.sah.co.rs/gq38-11e-beli-led-24v-ac-dc.html?___store=serbian"," Pogledajte proizvod na sajtu -&gt;")</f>
        <v> Pogledajte proizvod na sajtu -&gt;</v>
      </c>
    </row>
    <row r="141" spans="1:6" ht="12.75">
      <c r="A141" s="2">
        <v>140</v>
      </c>
      <c r="B141" t="s">
        <v>3813</v>
      </c>
      <c r="C141" t="s">
        <v>3814</v>
      </c>
      <c r="D141" s="2">
        <v>181</v>
      </c>
      <c r="E141" s="2">
        <v>3</v>
      </c>
      <c r="F141" s="3" t="str">
        <f>HYPERLINK("http://www.sah.co.rs/la115-b2-11d-beli-led-220v-ac.html?___store=serbian"," Pogledajte proizvod na sajtu -&gt;")</f>
        <v> Pogledajte proizvod na sajtu -&gt;</v>
      </c>
    </row>
    <row r="142" spans="1:6" ht="12.75">
      <c r="A142" s="2">
        <v>141</v>
      </c>
      <c r="B142" t="s">
        <v>3815</v>
      </c>
      <c r="C142" t="s">
        <v>3816</v>
      </c>
      <c r="D142" s="2">
        <v>0</v>
      </c>
      <c r="E142" s="2">
        <v>2</v>
      </c>
      <c r="F142" s="3" t="str">
        <f>HYPERLINK("http://www.sah.co.rs/hb2-bw3761-beli-led-220v-ac.html?___store=serbian"," Pogledajte proizvod na sajtu -&gt;")</f>
        <v> Pogledajte proizvod na sajtu -&gt;</v>
      </c>
    </row>
    <row r="143" spans="1:6" ht="12.75">
      <c r="A143" s="2">
        <v>142</v>
      </c>
      <c r="B143" t="s">
        <v>3817</v>
      </c>
      <c r="C143" t="s">
        <v>3818</v>
      </c>
      <c r="D143" s="2">
        <v>63</v>
      </c>
      <c r="E143" s="2">
        <v>3</v>
      </c>
      <c r="F143" s="3" t="str">
        <f>HYPERLINK("http://www.sah.co.rs/la115-b2-11d-beli-led-24v-ac-dc.html?___store=serbian"," Pogledajte proizvod na sajtu -&gt;")</f>
        <v> Pogledajte proizvod na sajtu -&gt;</v>
      </c>
    </row>
    <row r="144" spans="1:6" ht="12.75">
      <c r="A144" s="2">
        <v>143</v>
      </c>
      <c r="B144" t="s">
        <v>3819</v>
      </c>
      <c r="C144" t="s">
        <v>3820</v>
      </c>
      <c r="D144" s="2">
        <v>92</v>
      </c>
      <c r="E144" s="2">
        <v>2</v>
      </c>
      <c r="F144" s="3" t="str">
        <f aca="true" t="shared" si="0" ref="F144:F145">HYPERLINK("http://www.sah.co.rs/la115-b2-11-beli.html?___store=serbian"," Pogledajte proizvod na sajtu -&gt;")</f>
        <v> Pogledajte proizvod na sajtu -&gt;</v>
      </c>
    </row>
    <row r="145" spans="1:6" ht="12.75">
      <c r="A145" s="2">
        <v>144</v>
      </c>
      <c r="B145" t="s">
        <v>3821</v>
      </c>
      <c r="C145" t="s">
        <v>3822</v>
      </c>
      <c r="D145" s="2">
        <v>535</v>
      </c>
      <c r="E145" s="2">
        <v>2</v>
      </c>
      <c r="F145" s="3" t="str">
        <f t="shared" si="0"/>
        <v> Pogledajte proizvod na sajtu -&gt;</v>
      </c>
    </row>
    <row r="146" spans="1:6" ht="12.75">
      <c r="A146" s="2">
        <v>145</v>
      </c>
      <c r="B146" t="s">
        <v>3823</v>
      </c>
      <c r="C146" t="s">
        <v>3824</v>
      </c>
      <c r="D146" s="2">
        <v>180</v>
      </c>
      <c r="E146" s="2">
        <v>1.5</v>
      </c>
      <c r="F146" s="3" t="str">
        <f>HYPERLINK("http://www.sah.co.rs/gxb2-ba11.html?___store=serbian"," Pogledajte proizvod na sajtu -&gt;")</f>
        <v> Pogledajte proizvod na sajtu -&gt;</v>
      </c>
    </row>
    <row r="147" spans="1:6" ht="12.75">
      <c r="A147" s="2">
        <v>146</v>
      </c>
      <c r="B147" t="s">
        <v>3825</v>
      </c>
      <c r="C147" t="s">
        <v>3824</v>
      </c>
      <c r="D147" s="2">
        <v>75</v>
      </c>
      <c r="E147" s="2">
        <v>1</v>
      </c>
      <c r="F147" s="3" t="str">
        <f>HYPERLINK("http://www.sah.co.rs/hb2-ba11.html?___store=serbian"," Pogledajte proizvod na sajtu -&gt;")</f>
        <v> Pogledajte proizvod na sajtu -&gt;</v>
      </c>
    </row>
    <row r="148" spans="1:6" ht="12.75">
      <c r="A148" s="2">
        <v>147</v>
      </c>
      <c r="B148" t="s">
        <v>3826</v>
      </c>
      <c r="C148" t="s">
        <v>3827</v>
      </c>
      <c r="D148" s="2">
        <v>166</v>
      </c>
      <c r="E148" s="2">
        <v>2</v>
      </c>
      <c r="F148" s="3" t="str">
        <f aca="true" t="shared" si="1" ref="F148:F149">HYPERLINK("http://www.sah.co.rs/la115-b2-11-crni.html?___store=serbian"," Pogledajte proizvod na sajtu -&gt;")</f>
        <v> Pogledajte proizvod na sajtu -&gt;</v>
      </c>
    </row>
    <row r="149" spans="1:6" ht="12.75">
      <c r="A149" s="2">
        <v>148</v>
      </c>
      <c r="B149" t="s">
        <v>3828</v>
      </c>
      <c r="C149" t="s">
        <v>3829</v>
      </c>
      <c r="D149" s="2">
        <v>425</v>
      </c>
      <c r="E149" s="2">
        <v>2</v>
      </c>
      <c r="F149" s="3" t="str">
        <f t="shared" si="1"/>
        <v> Pogledajte proizvod na sajtu -&gt;</v>
      </c>
    </row>
    <row r="150" spans="1:6" ht="12.75">
      <c r="A150" s="2">
        <v>149</v>
      </c>
      <c r="B150" t="s">
        <v>3830</v>
      </c>
      <c r="C150" t="s">
        <v>3831</v>
      </c>
      <c r="D150" s="2">
        <v>220</v>
      </c>
      <c r="E150" s="2">
        <v>1.5</v>
      </c>
      <c r="F150" s="3" t="str">
        <f>HYPERLINK("http://www.sah.co.rs/gxb2-ba21.html?___store=serbian"," Pogledajte proizvod na sajtu -&gt;")</f>
        <v> Pogledajte proizvod na sajtu -&gt;</v>
      </c>
    </row>
    <row r="151" spans="1:6" ht="12.75">
      <c r="A151" s="2">
        <v>150</v>
      </c>
      <c r="B151" t="s">
        <v>3832</v>
      </c>
      <c r="C151" t="s">
        <v>3831</v>
      </c>
      <c r="D151" s="2">
        <v>277</v>
      </c>
      <c r="E151" s="2">
        <v>1</v>
      </c>
      <c r="F151" s="3" t="str">
        <f>HYPERLINK("http://www.sah.co.rs/hb2-ba21.html?___store=serbian"," Pogledajte proizvod na sajtu -&gt;")</f>
        <v> Pogledajte proizvod na sajtu -&gt;</v>
      </c>
    </row>
    <row r="152" spans="1:6" ht="12.75">
      <c r="A152" s="2">
        <v>151</v>
      </c>
      <c r="B152" t="s">
        <v>3833</v>
      </c>
      <c r="C152" t="s">
        <v>3834</v>
      </c>
      <c r="D152" s="2">
        <v>204</v>
      </c>
      <c r="E152" s="2">
        <v>5</v>
      </c>
      <c r="F152" s="3" t="str">
        <f>HYPERLINK("http://www.sah.co.rs/gq38-11e-crveni-led-24v-ac-dc.html?___store=serbian"," Pogledajte proizvod na sajtu -&gt;")</f>
        <v> Pogledajte proizvod na sajtu -&gt;</v>
      </c>
    </row>
    <row r="153" spans="1:6" ht="12.75">
      <c r="A153" s="2">
        <v>152</v>
      </c>
      <c r="B153" t="s">
        <v>3835</v>
      </c>
      <c r="C153" t="s">
        <v>3836</v>
      </c>
      <c r="D153" s="2">
        <v>61</v>
      </c>
      <c r="E153" s="2">
        <v>1.8</v>
      </c>
      <c r="F153" s="3" t="str">
        <f>HYPERLINK("http://www.sah.co.rs/la115-c-11ad-crveni-led-220v-ac.html?___store=serbian"," Pogledajte proizvod na sajtu -&gt;")</f>
        <v> Pogledajte proizvod na sajtu -&gt;</v>
      </c>
    </row>
    <row r="154" spans="1:6" ht="12.75">
      <c r="A154" s="2">
        <v>153</v>
      </c>
      <c r="B154" t="s">
        <v>3837</v>
      </c>
      <c r="C154" t="s">
        <v>3838</v>
      </c>
      <c r="D154" s="2">
        <v>151</v>
      </c>
      <c r="E154" s="2">
        <v>3</v>
      </c>
      <c r="F154" s="3" t="str">
        <f>HYPERLINK("http://www.sah.co.rs/la115-b2-11d-crveni-led-220v-ac.html?___store=serbian"," Pogledajte proizvod na sajtu -&gt;")</f>
        <v> Pogledajte proizvod na sajtu -&gt;</v>
      </c>
    </row>
    <row r="155" spans="1:6" ht="12.75">
      <c r="A155" s="2">
        <v>154</v>
      </c>
      <c r="B155" t="s">
        <v>3839</v>
      </c>
      <c r="C155" t="s">
        <v>3840</v>
      </c>
      <c r="D155" s="2">
        <v>81</v>
      </c>
      <c r="E155" s="2">
        <v>2</v>
      </c>
      <c r="F155" s="3" t="str">
        <f>HYPERLINK("http://www.sah.co.rs/hb2-bw3461-crveni-led-220v-ac.html?___store=serbian"," Pogledajte proizvod na sajtu -&gt;")</f>
        <v> Pogledajte proizvod na sajtu -&gt;</v>
      </c>
    </row>
    <row r="156" spans="1:6" ht="12.75">
      <c r="A156" s="2">
        <v>155</v>
      </c>
      <c r="B156" t="s">
        <v>3841</v>
      </c>
      <c r="C156" t="s">
        <v>3842</v>
      </c>
      <c r="D156" s="2">
        <v>33</v>
      </c>
      <c r="E156" s="2">
        <v>1.8</v>
      </c>
      <c r="F156" s="3" t="str">
        <f>HYPERLINK("http://www.sah.co.rs/la115-c-11ad-crveni-led-24v-ac-dc.html?___store=serbian"," Pogledajte proizvod na sajtu -&gt;")</f>
        <v> Pogledajte proizvod na sajtu -&gt;</v>
      </c>
    </row>
    <row r="157" spans="1:6" ht="12.75">
      <c r="A157" s="2">
        <v>156</v>
      </c>
      <c r="B157" t="s">
        <v>3843</v>
      </c>
      <c r="C157" t="s">
        <v>3844</v>
      </c>
      <c r="D157" s="2">
        <v>133</v>
      </c>
      <c r="E157" s="2">
        <v>3</v>
      </c>
      <c r="F157" s="3" t="str">
        <f>HYPERLINK("http://www.sah.co.rs/la115-b2-11d-crveni-led-24v-ac-dc.html?___store=serbian"," Pogledajte proizvod na sajtu -&gt;")</f>
        <v> Pogledajte proizvod na sajtu -&gt;</v>
      </c>
    </row>
    <row r="158" spans="1:6" ht="12.75">
      <c r="A158" s="2">
        <v>157</v>
      </c>
      <c r="B158" t="s">
        <v>3845</v>
      </c>
      <c r="C158" t="s">
        <v>3846</v>
      </c>
      <c r="D158" s="2">
        <v>54</v>
      </c>
      <c r="E158" s="2">
        <v>2</v>
      </c>
      <c r="F158" s="3" t="str">
        <f>HYPERLINK("http://www.sah.co.rs/la115-b2-11-0-crveni.html?___store=serbian"," Pogledajte proizvod na sajtu -&gt;")</f>
        <v> Pogledajte proizvod na sajtu -&gt;</v>
      </c>
    </row>
    <row r="159" spans="1:6" ht="12.75">
      <c r="A159" s="2">
        <v>158</v>
      </c>
      <c r="B159" t="s">
        <v>3847</v>
      </c>
      <c r="C159" t="s">
        <v>3848</v>
      </c>
      <c r="D159" s="2">
        <v>78</v>
      </c>
      <c r="E159" s="2">
        <v>1</v>
      </c>
      <c r="F159" s="3" t="str">
        <f>HYPERLINK("http://www.sah.co.rs/la115-c-11a-crveni.html?___store=serbian"," Pogledajte proizvod na sajtu -&gt;")</f>
        <v> Pogledajte proizvod na sajtu -&gt;</v>
      </c>
    </row>
    <row r="160" spans="1:6" ht="12.75">
      <c r="A160" s="2">
        <v>159</v>
      </c>
      <c r="B160" t="s">
        <v>3849</v>
      </c>
      <c r="C160" t="s">
        <v>3850</v>
      </c>
      <c r="D160" s="2">
        <v>178</v>
      </c>
      <c r="E160" s="2">
        <v>1.5</v>
      </c>
      <c r="F160" s="3" t="str">
        <f>HYPERLINK("http://www.sah.co.rs/gxb2-ba42.html?___store=serbian"," Pogledajte proizvod na sajtu -&gt;")</f>
        <v> Pogledajte proizvod na sajtu -&gt;</v>
      </c>
    </row>
    <row r="161" spans="1:6" ht="12.75">
      <c r="A161" s="2">
        <v>160</v>
      </c>
      <c r="B161" t="s">
        <v>3851</v>
      </c>
      <c r="C161" t="s">
        <v>3850</v>
      </c>
      <c r="D161" s="2">
        <v>394</v>
      </c>
      <c r="E161" s="2">
        <v>1</v>
      </c>
      <c r="F161" s="3" t="str">
        <f>HYPERLINK("http://www.sah.co.rs/hb2-ba42.html?___store=serbian"," Pogledajte proizvod na sajtu -&gt;")</f>
        <v> Pogledajte proizvod na sajtu -&gt;</v>
      </c>
    </row>
    <row r="162" spans="1:6" ht="12.75">
      <c r="A162" s="2">
        <v>161</v>
      </c>
      <c r="B162" t="s">
        <v>3852</v>
      </c>
      <c r="C162" t="s">
        <v>3853</v>
      </c>
      <c r="D162" s="2">
        <v>724</v>
      </c>
      <c r="E162" s="2">
        <v>1</v>
      </c>
      <c r="F162" s="3" t="str">
        <f>HYPERLINK("http://www.sah.co.rs/la38-11-crveni.html?___store=serbian"," Pogledajte proizvod na sajtu -&gt;")</f>
        <v> Pogledajte proizvod na sajtu -&gt;</v>
      </c>
    </row>
    <row r="163" spans="1:6" ht="12.75">
      <c r="A163" s="2">
        <v>162</v>
      </c>
      <c r="B163" t="s">
        <v>3854</v>
      </c>
      <c r="C163" t="s">
        <v>3855</v>
      </c>
      <c r="D163" s="2">
        <v>0</v>
      </c>
      <c r="E163" s="2">
        <v>2</v>
      </c>
      <c r="F163" s="3" t="str">
        <f>HYPERLINK("http://www.sah.co.rs/la115-b2-11-crveni.html?___store=serbian"," Pogledajte proizvod na sajtu -&gt;")</f>
        <v> Pogledajte proizvod na sajtu -&gt;</v>
      </c>
    </row>
    <row r="164" spans="1:6" ht="12.75">
      <c r="A164" s="2">
        <v>163</v>
      </c>
      <c r="B164" t="s">
        <v>3856</v>
      </c>
      <c r="C164" t="s">
        <v>3855</v>
      </c>
      <c r="D164" s="2">
        <v>396</v>
      </c>
      <c r="E164" s="2">
        <v>2</v>
      </c>
      <c r="F164" s="3" t="str">
        <f>HYPERLINK("http://www.sah.co.rs/la115-b1-11-crveni.html?___store=serbian"," Pogledajte proizvod na sajtu -&gt;")</f>
        <v> Pogledajte proizvod na sajtu -&gt;</v>
      </c>
    </row>
    <row r="165" spans="1:6" ht="12.75">
      <c r="A165" s="2">
        <v>164</v>
      </c>
      <c r="B165" t="s">
        <v>3857</v>
      </c>
      <c r="C165" t="s">
        <v>3858</v>
      </c>
      <c r="D165" s="2">
        <v>174</v>
      </c>
      <c r="E165" s="2">
        <v>5</v>
      </c>
      <c r="F165" s="3" t="str">
        <f>HYPERLINK("http://www.sah.co.rs/gq38-11e-plavi-led-24v-ac-dc.html?___store=serbian"," Pogledajte proizvod na sajtu -&gt;")</f>
        <v> Pogledajte proizvod na sajtu -&gt;</v>
      </c>
    </row>
    <row r="166" spans="1:6" ht="12.75">
      <c r="A166" s="2">
        <v>165</v>
      </c>
      <c r="B166" t="s">
        <v>3859</v>
      </c>
      <c r="C166" t="s">
        <v>3860</v>
      </c>
      <c r="D166" s="2">
        <v>163</v>
      </c>
      <c r="E166" s="2">
        <v>3</v>
      </c>
      <c r="F166" s="3" t="str">
        <f>HYPERLINK("http://www.sah.co.rs/la115-b2-11d-plavi-led-220v-ac.html?___store=serbian"," Pogledajte proizvod na sajtu -&gt;")</f>
        <v> Pogledajte proizvod na sajtu -&gt;</v>
      </c>
    </row>
    <row r="167" spans="1:6" ht="12.75">
      <c r="A167" s="2">
        <v>166</v>
      </c>
      <c r="B167" t="s">
        <v>3861</v>
      </c>
      <c r="C167" t="s">
        <v>3862</v>
      </c>
      <c r="D167" s="2">
        <v>0</v>
      </c>
      <c r="E167" s="2">
        <v>2</v>
      </c>
      <c r="F167" s="3" t="str">
        <f>HYPERLINK("http://www.sah.co.rs/hb2-bw3661-plavi-led-220v-ac.html?___store=serbian"," Pogledajte proizvod na sajtu -&gt;")</f>
        <v> Pogledajte proizvod na sajtu -&gt;</v>
      </c>
    </row>
    <row r="168" spans="1:6" ht="12.75">
      <c r="A168" s="2">
        <v>167</v>
      </c>
      <c r="B168" t="s">
        <v>3863</v>
      </c>
      <c r="C168" t="s">
        <v>3864</v>
      </c>
      <c r="D168" s="2">
        <v>0</v>
      </c>
      <c r="E168" s="2">
        <v>3</v>
      </c>
      <c r="F168" s="3" t="str">
        <f>HYPERLINK("http://www.sah.co.rs/la115-b2-11d-plavi-led-24v-ac-dc.html?___store=serbian"," Pogledajte proizvod na sajtu -&gt;")</f>
        <v> Pogledajte proizvod na sajtu -&gt;</v>
      </c>
    </row>
    <row r="169" spans="1:6" ht="12.75">
      <c r="A169" s="2">
        <v>168</v>
      </c>
      <c r="B169" t="s">
        <v>3865</v>
      </c>
      <c r="C169" t="s">
        <v>3866</v>
      </c>
      <c r="D169" s="2">
        <v>110</v>
      </c>
      <c r="E169" s="2">
        <v>2</v>
      </c>
      <c r="F169" s="3" t="str">
        <f>HYPERLINK("http://www.sah.co.rs/la115-b2-11-plavi.html?___store=serbian"," Pogledajte proizvod na sajtu -&gt;")</f>
        <v> Pogledajte proizvod na sajtu -&gt;</v>
      </c>
    </row>
    <row r="170" spans="1:6" ht="12.75">
      <c r="A170" s="2">
        <v>169</v>
      </c>
      <c r="B170" t="s">
        <v>3867</v>
      </c>
      <c r="C170" t="s">
        <v>3868</v>
      </c>
      <c r="D170" s="2">
        <v>283</v>
      </c>
      <c r="E170" s="2">
        <v>1</v>
      </c>
      <c r="F170" s="3" t="str">
        <f>HYPERLINK("http://www.sah.co.rs/hb2-ba61.html?___store=serbian"," Pogledajte proizvod na sajtu -&gt;")</f>
        <v> Pogledajte proizvod na sajtu -&gt;</v>
      </c>
    </row>
    <row r="171" spans="1:6" ht="12.75">
      <c r="A171" s="2">
        <v>170</v>
      </c>
      <c r="B171" t="s">
        <v>3869</v>
      </c>
      <c r="C171" t="s">
        <v>3868</v>
      </c>
      <c r="D171" s="2">
        <v>131</v>
      </c>
      <c r="E171" s="2">
        <v>1.5</v>
      </c>
      <c r="F171" s="3" t="str">
        <f>HYPERLINK("http://www.sah.co.rs/gxb2-ba61.html?___store=serbian"," Pogledajte proizvod na sajtu -&gt;")</f>
        <v> Pogledajte proizvod na sajtu -&gt;</v>
      </c>
    </row>
    <row r="172" spans="1:6" ht="12.75">
      <c r="A172" s="2">
        <v>171</v>
      </c>
      <c r="B172" t="s">
        <v>3870</v>
      </c>
      <c r="C172" t="s">
        <v>3871</v>
      </c>
      <c r="D172" s="2">
        <v>434</v>
      </c>
      <c r="E172" s="2">
        <v>5</v>
      </c>
      <c r="F172" s="3" t="str">
        <f>HYPERLINK("http://www.sah.co.rs/gq38-11e-zeleni-led-24v-ac-dc.html?___store=serbian"," Pogledajte proizvod na sajtu -&gt;")</f>
        <v> Pogledajte proizvod na sajtu -&gt;</v>
      </c>
    </row>
    <row r="173" spans="1:6" ht="12.75">
      <c r="A173" s="2">
        <v>172</v>
      </c>
      <c r="B173" t="s">
        <v>3872</v>
      </c>
      <c r="C173" t="s">
        <v>3873</v>
      </c>
      <c r="D173" s="2">
        <v>66</v>
      </c>
      <c r="E173" s="2">
        <v>1.8</v>
      </c>
      <c r="F173" s="3" t="str">
        <f>HYPERLINK("http://www.sah.co.rs/la115-c-11ad-zeleni-led-220v-ac.html?___store=serbian"," Pogledajte proizvod na sajtu -&gt;")</f>
        <v> Pogledajte proizvod na sajtu -&gt;</v>
      </c>
    </row>
    <row r="174" spans="1:6" ht="12.75">
      <c r="A174" s="2">
        <v>173</v>
      </c>
      <c r="B174" t="s">
        <v>3874</v>
      </c>
      <c r="C174" t="s">
        <v>3875</v>
      </c>
      <c r="D174" s="2">
        <v>31</v>
      </c>
      <c r="E174" s="2">
        <v>1.8</v>
      </c>
      <c r="F174" s="3" t="str">
        <f>HYPERLINK("http://www.sah.co.rs/la115-c-22ad-zeleni-led-220v-ac.html?___store=serbian"," Pogledajte proizvod na sajtu -&gt;")</f>
        <v> Pogledajte proizvod na sajtu -&gt;</v>
      </c>
    </row>
    <row r="175" spans="1:6" ht="12.75">
      <c r="A175" s="2">
        <v>174</v>
      </c>
      <c r="B175" t="s">
        <v>3876</v>
      </c>
      <c r="C175" t="s">
        <v>3877</v>
      </c>
      <c r="D175" s="2">
        <v>74</v>
      </c>
      <c r="E175" s="2">
        <v>3</v>
      </c>
      <c r="F175" s="3" t="str">
        <f>HYPERLINK("http://www.sah.co.rs/la115-b2-11d-zeleni-led-220v-ac.html?___store=serbian"," Pogledajte proizvod na sajtu -&gt;")</f>
        <v> Pogledajte proizvod na sajtu -&gt;</v>
      </c>
    </row>
    <row r="176" spans="1:6" ht="12.75">
      <c r="A176" s="2">
        <v>175</v>
      </c>
      <c r="B176" t="s">
        <v>3878</v>
      </c>
      <c r="C176" t="s">
        <v>3879</v>
      </c>
      <c r="D176" s="2">
        <v>80</v>
      </c>
      <c r="E176" s="2">
        <v>2</v>
      </c>
      <c r="F176" s="3" t="str">
        <f>HYPERLINK("http://www.sah.co.rs/hb2-bw3361-zeleni-led-220v-ac.html?___store=serbian"," Pogledajte proizvod na sajtu -&gt;")</f>
        <v> Pogledajte proizvod na sajtu -&gt;</v>
      </c>
    </row>
    <row r="177" spans="1:6" ht="12.75">
      <c r="A177" s="2">
        <v>176</v>
      </c>
      <c r="B177" t="s">
        <v>3880</v>
      </c>
      <c r="C177" t="s">
        <v>3881</v>
      </c>
      <c r="D177" s="2">
        <v>94</v>
      </c>
      <c r="E177" s="2">
        <v>1.8</v>
      </c>
      <c r="F177" s="3" t="str">
        <f>HYPERLINK("http://www.sah.co.rs/la115-c-11ad-zeleni-led-24v-ac-dc.html?___store=serbian"," Pogledajte proizvod na sajtu -&gt;")</f>
        <v> Pogledajte proizvod na sajtu -&gt;</v>
      </c>
    </row>
    <row r="178" spans="1:6" ht="12.75">
      <c r="A178" s="2">
        <v>177</v>
      </c>
      <c r="B178" t="s">
        <v>3882</v>
      </c>
      <c r="C178" t="s">
        <v>3883</v>
      </c>
      <c r="D178" s="2">
        <v>79</v>
      </c>
      <c r="E178" s="2">
        <v>1.8</v>
      </c>
      <c r="F178" s="3" t="str">
        <f>HYPERLINK("http://www.sah.co.rs/la115-c-22ad-zeleni-led-24v-ac-dc.html?___store=serbian"," Pogledajte proizvod na sajtu -&gt;")</f>
        <v> Pogledajte proizvod na sajtu -&gt;</v>
      </c>
    </row>
    <row r="179" spans="1:6" ht="12.75">
      <c r="A179" s="2">
        <v>178</v>
      </c>
      <c r="B179" t="s">
        <v>3884</v>
      </c>
      <c r="C179" t="s">
        <v>3885</v>
      </c>
      <c r="D179" s="2">
        <v>115</v>
      </c>
      <c r="E179" s="2">
        <v>3</v>
      </c>
      <c r="F179" s="3" t="str">
        <f>HYPERLINK("http://www.sah.co.rs/la115-b2-11d-zeleni-led-24v-ac-dc.html?___store=serbian"," Pogledajte proizvod na sajtu -&gt;")</f>
        <v> Pogledajte proizvod na sajtu -&gt;</v>
      </c>
    </row>
    <row r="180" spans="1:6" ht="12.75">
      <c r="A180" s="2">
        <v>179</v>
      </c>
      <c r="B180" t="s">
        <v>3886</v>
      </c>
      <c r="C180" t="s">
        <v>3887</v>
      </c>
      <c r="D180" s="2">
        <v>290</v>
      </c>
      <c r="E180" s="2">
        <v>2</v>
      </c>
      <c r="F180" s="3" t="str">
        <f>HYPERLINK("http://www.sah.co.rs/la115-b2-11-i-zeleni.html?___store=serbian"," Pogledajte proizvod na sajtu -&gt;")</f>
        <v> Pogledajte proizvod na sajtu -&gt;</v>
      </c>
    </row>
    <row r="181" spans="1:6" ht="12.75">
      <c r="A181" s="2">
        <v>180</v>
      </c>
      <c r="B181" t="s">
        <v>3888</v>
      </c>
      <c r="C181" t="s">
        <v>3889</v>
      </c>
      <c r="D181" s="2">
        <v>17</v>
      </c>
      <c r="E181" s="2">
        <v>1</v>
      </c>
      <c r="F181" s="3" t="str">
        <f>HYPERLINK("http://www.sah.co.rs/la115-c-11a-zeleni.html?___store=serbian"," Pogledajte proizvod na sajtu -&gt;")</f>
        <v> Pogledajte proizvod na sajtu -&gt;</v>
      </c>
    </row>
    <row r="182" spans="1:6" ht="12.75">
      <c r="A182" s="2">
        <v>181</v>
      </c>
      <c r="B182" t="s">
        <v>3890</v>
      </c>
      <c r="C182" t="s">
        <v>3891</v>
      </c>
      <c r="D182" s="2">
        <v>712</v>
      </c>
      <c r="E182" s="2">
        <v>1</v>
      </c>
      <c r="F182" s="3" t="str">
        <f>HYPERLINK("http://www.sah.co.rs/la38-11-zeleni.html?___store=serbian"," Pogledajte proizvod na sajtu -&gt;")</f>
        <v> Pogledajte proizvod na sajtu -&gt;</v>
      </c>
    </row>
    <row r="183" spans="1:6" ht="12.75">
      <c r="A183" s="2">
        <v>182</v>
      </c>
      <c r="B183" t="s">
        <v>3892</v>
      </c>
      <c r="C183" t="s">
        <v>3893</v>
      </c>
      <c r="D183" s="2">
        <v>120</v>
      </c>
      <c r="E183" s="2">
        <v>2</v>
      </c>
      <c r="F183" s="3" t="str">
        <f>HYPERLINK("http://www.sah.co.rs/la115-b2-11-zeleni.html?___store=serbian"," Pogledajte proizvod na sajtu -&gt;")</f>
        <v> Pogledajte proizvod na sajtu -&gt;</v>
      </c>
    </row>
    <row r="184" spans="1:6" ht="12.75">
      <c r="A184" s="2">
        <v>183</v>
      </c>
      <c r="B184" t="s">
        <v>3894</v>
      </c>
      <c r="C184" t="s">
        <v>3895</v>
      </c>
      <c r="D184" s="2">
        <v>319</v>
      </c>
      <c r="E184" s="2">
        <v>1</v>
      </c>
      <c r="F184" s="3" t="str">
        <f>HYPERLINK("http://www.sah.co.rs/hb2-ba31.html?___store=serbian"," Pogledajte proizvod na sajtu -&gt;")</f>
        <v> Pogledajte proizvod na sajtu -&gt;</v>
      </c>
    </row>
    <row r="185" spans="1:6" ht="12.75">
      <c r="A185" s="2">
        <v>184</v>
      </c>
      <c r="B185" t="s">
        <v>3896</v>
      </c>
      <c r="C185" t="s">
        <v>3895</v>
      </c>
      <c r="D185" s="2">
        <v>525</v>
      </c>
      <c r="E185" s="2">
        <v>1.5</v>
      </c>
      <c r="F185" s="3" t="str">
        <f>HYPERLINK("http://www.sah.co.rs/gxb2-ba31.html?___store=serbian"," Pogledajte proizvod na sajtu -&gt;")</f>
        <v> Pogledajte proizvod na sajtu -&gt;</v>
      </c>
    </row>
    <row r="186" spans="1:6" ht="12.75">
      <c r="A186" s="2">
        <v>185</v>
      </c>
      <c r="B186" t="s">
        <v>3897</v>
      </c>
      <c r="C186" t="s">
        <v>3898</v>
      </c>
      <c r="D186" s="2">
        <v>109</v>
      </c>
      <c r="E186" s="2">
        <v>5</v>
      </c>
      <c r="F186" s="3" t="str">
        <f>HYPERLINK("http://www.sah.co.rs/gq38-11e-zuti-led-24v-ac-dc.html?___store=serbian"," Pogledajte proizvod na sajtu -&gt;")</f>
        <v> Pogledajte proizvod na sajtu -&gt;</v>
      </c>
    </row>
    <row r="187" spans="1:6" ht="12.75">
      <c r="A187" s="2">
        <v>186</v>
      </c>
      <c r="B187" t="s">
        <v>3899</v>
      </c>
      <c r="C187" t="s">
        <v>3900</v>
      </c>
      <c r="D187" s="2">
        <v>85</v>
      </c>
      <c r="E187" s="2">
        <v>1.8</v>
      </c>
      <c r="F187" s="3" t="str">
        <f>HYPERLINK("http://www.sah.co.rs/la115-c-11ad-zuti-led-220v-ac.html?___store=serbian"," Pogledajte proizvod na sajtu -&gt;")</f>
        <v> Pogledajte proizvod na sajtu -&gt;</v>
      </c>
    </row>
    <row r="188" spans="1:6" ht="12.75">
      <c r="A188" s="2">
        <v>187</v>
      </c>
      <c r="B188" t="s">
        <v>3901</v>
      </c>
      <c r="C188" t="s">
        <v>3902</v>
      </c>
      <c r="D188" s="2">
        <v>240</v>
      </c>
      <c r="E188" s="2">
        <v>3</v>
      </c>
      <c r="F188" s="3" t="str">
        <f>HYPERLINK("http://www.sah.co.rs/la115-b2-11d-zuti-led-220v-ac.html?___store=serbian"," Pogledajte proizvod na sajtu -&gt;")</f>
        <v> Pogledajte proizvod na sajtu -&gt;</v>
      </c>
    </row>
    <row r="189" spans="1:6" ht="12.75">
      <c r="A189" s="2">
        <v>188</v>
      </c>
      <c r="B189" t="s">
        <v>3903</v>
      </c>
      <c r="C189" t="s">
        <v>3904</v>
      </c>
      <c r="D189" s="2">
        <v>453</v>
      </c>
      <c r="E189" s="2">
        <v>2</v>
      </c>
      <c r="F189" s="3" t="str">
        <f>HYPERLINK("http://www.sah.co.rs/hb2-bw3561-zuti-led-220v-ac.html?___store=serbian"," Pogledajte proizvod na sajtu -&gt;")</f>
        <v> Pogledajte proizvod na sajtu -&gt;</v>
      </c>
    </row>
    <row r="190" spans="1:6" ht="12.75">
      <c r="A190" s="2">
        <v>189</v>
      </c>
      <c r="B190" t="s">
        <v>3905</v>
      </c>
      <c r="C190" t="s">
        <v>3906</v>
      </c>
      <c r="D190" s="2">
        <v>82</v>
      </c>
      <c r="E190" s="2">
        <v>1.8</v>
      </c>
      <c r="F190" s="3" t="str">
        <f>HYPERLINK("http://www.sah.co.rs/la115-c-11ad-zuti-led-24v-ac-dc.html?___store=serbian"," Pogledajte proizvod na sajtu -&gt;")</f>
        <v> Pogledajte proizvod na sajtu -&gt;</v>
      </c>
    </row>
    <row r="191" spans="1:6" ht="12.75">
      <c r="A191" s="2">
        <v>190</v>
      </c>
      <c r="B191" t="s">
        <v>3907</v>
      </c>
      <c r="C191" t="s">
        <v>3908</v>
      </c>
      <c r="D191" s="2">
        <v>32</v>
      </c>
      <c r="E191" s="2">
        <v>3</v>
      </c>
      <c r="F191" s="3" t="str">
        <f>HYPERLINK("http://www.sah.co.rs/la115-b2-11d-zuti-led-24v-ac-dc.html?___store=serbian"," Pogledajte proizvod na sajtu -&gt;")</f>
        <v> Pogledajte proizvod na sajtu -&gt;</v>
      </c>
    </row>
    <row r="192" spans="1:6" ht="12.75">
      <c r="A192" s="2">
        <v>191</v>
      </c>
      <c r="B192" t="s">
        <v>3909</v>
      </c>
      <c r="C192" t="s">
        <v>3910</v>
      </c>
      <c r="D192" s="2">
        <v>0</v>
      </c>
      <c r="E192" s="2">
        <v>2</v>
      </c>
      <c r="F192" s="3" t="str">
        <f>HYPERLINK("http://www.sah.co.rs/la115-b2-11-zuti.html?___store=serbian"," Pogledajte proizvod na sajtu -&gt;")</f>
        <v> Pogledajte proizvod na sajtu -&gt;</v>
      </c>
    </row>
    <row r="193" spans="1:6" ht="12.75">
      <c r="A193" s="2">
        <v>192</v>
      </c>
      <c r="B193" t="s">
        <v>3911</v>
      </c>
      <c r="C193" t="s">
        <v>3912</v>
      </c>
      <c r="D193" s="2">
        <v>3</v>
      </c>
      <c r="E193" s="2">
        <v>1</v>
      </c>
      <c r="F193" s="3" t="str">
        <f>HYPERLINK("http://www.sah.co.rs/la115-c-11a-zuti.html?___store=serbian"," Pogledajte proizvod na sajtu -&gt;")</f>
        <v> Pogledajte proizvod na sajtu -&gt;</v>
      </c>
    </row>
    <row r="194" spans="1:6" ht="12.75">
      <c r="A194" s="2">
        <v>193</v>
      </c>
      <c r="B194" t="s">
        <v>3913</v>
      </c>
      <c r="C194" t="s">
        <v>3914</v>
      </c>
      <c r="D194" s="2">
        <v>678</v>
      </c>
      <c r="E194" s="2">
        <v>1</v>
      </c>
      <c r="F194" s="3" t="str">
        <f>HYPERLINK("http://www.sah.co.rs/la38-11-zuti.html?___store=serbian"," Pogledajte proizvod na sajtu -&gt;")</f>
        <v> Pogledajte proizvod na sajtu -&gt;</v>
      </c>
    </row>
    <row r="195" spans="1:6" ht="12.75">
      <c r="A195" s="2">
        <v>194</v>
      </c>
      <c r="B195" t="s">
        <v>3915</v>
      </c>
      <c r="C195" t="s">
        <v>3916</v>
      </c>
      <c r="D195" s="2">
        <v>90</v>
      </c>
      <c r="E195" s="2">
        <v>2</v>
      </c>
      <c r="F195" s="3" t="str">
        <f>HYPERLINK("http://www.sah.co.rs/la115-b2-11-zuti.html?___store=serbian"," Pogledajte proizvod na sajtu -&gt;")</f>
        <v> Pogledajte proizvod na sajtu -&gt;</v>
      </c>
    </row>
    <row r="196" spans="1:6" ht="12.75">
      <c r="A196" s="2">
        <v>195</v>
      </c>
      <c r="B196" t="s">
        <v>3917</v>
      </c>
      <c r="C196" t="s">
        <v>3918</v>
      </c>
      <c r="D196" s="2">
        <v>241</v>
      </c>
      <c r="E196" s="2">
        <v>1</v>
      </c>
      <c r="F196" s="3" t="str">
        <f>HYPERLINK("http://www.sah.co.rs/hb2-ba51.html?___store=serbian"," Pogledajte proizvod na sajtu -&gt;")</f>
        <v> Pogledajte proizvod na sajtu -&gt;</v>
      </c>
    </row>
    <row r="197" spans="1:6" ht="12.75">
      <c r="A197" s="2">
        <v>196</v>
      </c>
      <c r="B197" t="s">
        <v>3919</v>
      </c>
      <c r="C197" t="s">
        <v>3918</v>
      </c>
      <c r="D197" s="2">
        <v>322</v>
      </c>
      <c r="E197" s="2">
        <v>1.5</v>
      </c>
      <c r="F197" s="3" t="str">
        <f>HYPERLINK("http://www.sah.co.rs/gxb2-ba51.html?___store=serbian"," Pogledajte proizvod na sajtu -&gt;")</f>
        <v> Pogledajte proizvod na sajtu -&gt;</v>
      </c>
    </row>
    <row r="198" spans="1:6" ht="12.75">
      <c r="A198" s="2">
        <v>197</v>
      </c>
      <c r="B198" t="s">
        <v>3920</v>
      </c>
      <c r="C198" t="s">
        <v>3921</v>
      </c>
      <c r="D198" s="2">
        <v>131</v>
      </c>
      <c r="E198" s="2">
        <v>3</v>
      </c>
      <c r="F198" s="3" t="str">
        <f>HYPERLINK("http://www.sah.co.rs/hb2-bw8465.html?___store=serbian"," Pogledajte proizvod na sajtu -&gt;")</f>
        <v> Pogledajte proizvod na sajtu -&gt;</v>
      </c>
    </row>
    <row r="199" spans="1:6" ht="12.75">
      <c r="A199" s="2">
        <v>198</v>
      </c>
      <c r="B199" t="s">
        <v>3922</v>
      </c>
      <c r="C199" t="s">
        <v>3923</v>
      </c>
      <c r="D199" s="2">
        <v>1</v>
      </c>
      <c r="E199" s="2">
        <v>3.5</v>
      </c>
      <c r="F199" s="3" t="str">
        <f>HYPERLINK("http://www.sah.co.rs/la115-b5-11rd.html?___store=serbian"," Pogledajte proizvod na sajtu -&gt;")</f>
        <v> Pogledajte proizvod na sajtu -&gt;</v>
      </c>
    </row>
    <row r="200" spans="1:6" ht="12.75">
      <c r="A200" s="2">
        <v>199</v>
      </c>
      <c r="B200" t="s">
        <v>3924</v>
      </c>
      <c r="C200" t="s">
        <v>3925</v>
      </c>
      <c r="D200" s="2">
        <v>17</v>
      </c>
      <c r="E200" s="2">
        <v>2.5</v>
      </c>
      <c r="F200" s="3" t="str">
        <f>HYPERLINK("http://www.sah.co.rs/hb2-bl8425.html?___store=serbian"," Pogledajte proizvod na sajtu -&gt;")</f>
        <v> Pogledajte proizvod na sajtu -&gt;</v>
      </c>
    </row>
    <row r="201" spans="1:6" ht="12.75">
      <c r="A201" s="2">
        <v>200</v>
      </c>
      <c r="B201" t="s">
        <v>3926</v>
      </c>
      <c r="C201" t="s">
        <v>3927</v>
      </c>
      <c r="D201" s="2">
        <v>137</v>
      </c>
      <c r="E201" s="2">
        <v>2</v>
      </c>
      <c r="F201" s="3" t="str">
        <f>HYPERLINK("http://www.sah.co.rs/la115-b1-11r.html?___store=serbian"," Pogledajte proizvod na sajtu -&gt;")</f>
        <v> Pogledajte proizvod na sajtu -&gt;</v>
      </c>
    </row>
    <row r="202" spans="1:6" ht="12.75">
      <c r="A202" s="2">
        <v>201</v>
      </c>
      <c r="B202" t="s">
        <v>3928</v>
      </c>
      <c r="C202" t="s">
        <v>3929</v>
      </c>
      <c r="D202" s="2">
        <v>0</v>
      </c>
      <c r="E202" s="2">
        <v>3.2</v>
      </c>
      <c r="F202" s="3" t="str">
        <f>HYPERLINK("http://www.sah.co.rs/la115-b1-11rd.html?___store=serbian"," Pogledajte proizvod na sajtu -&gt;")</f>
        <v> Pogledajte proizvod na sajtu -&gt;</v>
      </c>
    </row>
    <row r="203" spans="1:6" ht="12.75">
      <c r="A203" s="2">
        <v>202</v>
      </c>
      <c r="B203" t="s">
        <v>3930</v>
      </c>
      <c r="C203" t="s">
        <v>3929</v>
      </c>
      <c r="D203" s="2">
        <v>474</v>
      </c>
      <c r="E203" s="2">
        <v>2.2</v>
      </c>
      <c r="F203" s="3" t="str">
        <f>HYPERLINK("http://www.sah.co.rs/apbb-22.html?___store=serbian"," Pogledajte proizvod na sajtu -&gt;")</f>
        <v> Pogledajte proizvod na sajtu -&gt;</v>
      </c>
    </row>
    <row r="204" spans="1:6" ht="12.75">
      <c r="A204" s="2">
        <v>203</v>
      </c>
      <c r="B204" t="s">
        <v>3931</v>
      </c>
      <c r="C204" t="s">
        <v>3932</v>
      </c>
      <c r="D204" s="2">
        <v>131</v>
      </c>
      <c r="E204" s="2">
        <v>1.3</v>
      </c>
      <c r="F204" s="3" t="str">
        <f>HYPERLINK("http://www.sah.co.rs/hb2-bc21.html?___store=serbian"," Pogledajte proizvod na sajtu -&gt;")</f>
        <v> Pogledajte proizvod na sajtu -&gt;</v>
      </c>
    </row>
    <row r="205" spans="1:6" ht="12.75">
      <c r="A205" s="2">
        <v>204</v>
      </c>
      <c r="B205" t="s">
        <v>3933</v>
      </c>
      <c r="C205" t="s">
        <v>3934</v>
      </c>
      <c r="D205" s="2">
        <v>184</v>
      </c>
      <c r="E205" s="2">
        <v>2.5</v>
      </c>
      <c r="F205" s="3" t="str">
        <f>HYPERLINK("http://www.sah.co.rs/la115-c-11zs.html?___store=serbian"," Pogledajte proizvod na sajtu -&gt;")</f>
        <v> Pogledajte proizvod na sajtu -&gt;</v>
      </c>
    </row>
    <row r="206" spans="1:6" ht="12.75">
      <c r="A206" s="2">
        <v>205</v>
      </c>
      <c r="B206" t="s">
        <v>3935</v>
      </c>
      <c r="C206" t="s">
        <v>3936</v>
      </c>
      <c r="D206" s="2">
        <v>156</v>
      </c>
      <c r="E206" s="2">
        <v>2</v>
      </c>
      <c r="F206" s="3" t="str">
        <f>HYPERLINK("http://www.sah.co.rs/gxb2-bs542.html?___store=serbian"," Pogledajte proizvod na sajtu -&gt;")</f>
        <v> Pogledajte proizvod na sajtu -&gt;</v>
      </c>
    </row>
    <row r="207" spans="1:6" ht="12.75">
      <c r="A207" s="2">
        <v>206</v>
      </c>
      <c r="B207" t="s">
        <v>3937</v>
      </c>
      <c r="C207" t="s">
        <v>3936</v>
      </c>
      <c r="D207" s="2">
        <v>207</v>
      </c>
      <c r="E207" s="2">
        <v>1.3</v>
      </c>
      <c r="F207" s="3" t="str">
        <f>HYPERLINK("http://www.sah.co.rs/hb2-bc42.html?___store=serbian"," Pogledajte proizvod na sajtu -&gt;")</f>
        <v> Pogledajte proizvod na sajtu -&gt;</v>
      </c>
    </row>
    <row r="208" spans="1:6" ht="12.75">
      <c r="A208" s="2">
        <v>207</v>
      </c>
      <c r="B208" t="s">
        <v>3938</v>
      </c>
      <c r="C208" t="s">
        <v>3939</v>
      </c>
      <c r="D208" s="2">
        <v>0</v>
      </c>
      <c r="E208" s="2">
        <v>2.2</v>
      </c>
      <c r="F208" s="3" t="str">
        <f>HYPERLINK("http://www.sah.co.rs/la115-b2-11m-crveni.html?___store=serbian"," Pogledajte proizvod na sajtu -&gt;")</f>
        <v> Pogledajte proizvod na sajtu -&gt;</v>
      </c>
    </row>
    <row r="209" spans="1:6" ht="12.75">
      <c r="A209" s="2">
        <v>208</v>
      </c>
      <c r="B209" t="s">
        <v>3940</v>
      </c>
      <c r="C209" t="s">
        <v>3941</v>
      </c>
      <c r="D209" s="2">
        <v>2</v>
      </c>
      <c r="E209" s="2">
        <v>3</v>
      </c>
      <c r="F209" s="3" t="str">
        <f>HYPERLINK("http://www.sah.co.rs/la115-b2-11md-crveni-led-220v-ac.html?___store=serbian"," Pogledajte proizvod na sajtu -&gt;")</f>
        <v> Pogledajte proizvod na sajtu -&gt;</v>
      </c>
    </row>
    <row r="210" spans="1:6" ht="12.75">
      <c r="A210" s="2">
        <v>209</v>
      </c>
      <c r="B210" t="s">
        <v>3942</v>
      </c>
      <c r="C210" t="s">
        <v>3943</v>
      </c>
      <c r="D210" s="2">
        <v>13</v>
      </c>
      <c r="E210" s="2">
        <v>3</v>
      </c>
      <c r="F210" s="3" t="str">
        <f>HYPERLINK("http://www.sah.co.rs/la115-b2-11md-crveni-led-24v-ac-dc.html?___store=serbian"," Pogledajte proizvod na sajtu -&gt;")</f>
        <v> Pogledajte proizvod na sajtu -&gt;</v>
      </c>
    </row>
    <row r="211" spans="1:6" ht="12.75">
      <c r="A211" s="2">
        <v>210</v>
      </c>
      <c r="B211" t="s">
        <v>3944</v>
      </c>
      <c r="C211" t="s">
        <v>3945</v>
      </c>
      <c r="D211" s="2">
        <v>0</v>
      </c>
      <c r="E211" s="2">
        <v>3</v>
      </c>
      <c r="F211" s="3" t="str">
        <f>HYPERLINK("http://www.sah.co.rs/la115-b2-11md-zeleni-led-220v-ac.html?___store=serbian"," Pogledajte proizvod na sajtu -&gt;")</f>
        <v> Pogledajte proizvod na sajtu -&gt;</v>
      </c>
    </row>
    <row r="212" spans="1:6" ht="12.75">
      <c r="A212" s="2">
        <v>211</v>
      </c>
      <c r="B212" t="s">
        <v>3946</v>
      </c>
      <c r="C212" t="s">
        <v>3947</v>
      </c>
      <c r="D212" s="2">
        <v>40</v>
      </c>
      <c r="E212" s="2">
        <v>3</v>
      </c>
      <c r="F212" s="3" t="str">
        <f>HYPERLINK("http://www.sah.co.rs/la115-b2-11md-zeleni-led-24v-ac-dc.html?___store=serbian"," Pogledajte proizvod na sajtu -&gt;")</f>
        <v> Pogledajte proizvod na sajtu -&gt;</v>
      </c>
    </row>
    <row r="213" spans="1:6" ht="12.75">
      <c r="A213" s="2">
        <v>212</v>
      </c>
      <c r="B213" t="s">
        <v>3948</v>
      </c>
      <c r="C213" t="s">
        <v>3949</v>
      </c>
      <c r="D213" s="2">
        <v>3</v>
      </c>
      <c r="E213" s="2">
        <v>2.2</v>
      </c>
      <c r="F213" s="3" t="str">
        <f>HYPERLINK("http://www.sah.co.rs/la115-b2-11m-zeleni.html?___store=serbian"," Pogledajte proizvod na sajtu -&gt;")</f>
        <v> Pogledajte proizvod na sajtu -&gt;</v>
      </c>
    </row>
    <row r="214" spans="1:6" ht="12.75">
      <c r="A214" s="2">
        <v>213</v>
      </c>
      <c r="B214" t="s">
        <v>3950</v>
      </c>
      <c r="C214" t="s">
        <v>3951</v>
      </c>
      <c r="D214" s="2">
        <v>300</v>
      </c>
      <c r="E214" s="2">
        <v>1.3</v>
      </c>
      <c r="F214" s="3" t="str">
        <f>HYPERLINK("http://www.sah.co.rs/hb2-bc31.html?___store=serbian"," Pogledajte proizvod na sajtu -&gt;")</f>
        <v> Pogledajte proizvod na sajtu -&gt;</v>
      </c>
    </row>
    <row r="215" spans="1:6" ht="12.75">
      <c r="A215" s="2">
        <v>214</v>
      </c>
      <c r="B215" t="s">
        <v>3952</v>
      </c>
      <c r="C215" t="s">
        <v>3953</v>
      </c>
      <c r="D215" s="2">
        <v>182</v>
      </c>
      <c r="E215" s="2">
        <v>1.3</v>
      </c>
      <c r="F215" s="3" t="str">
        <f>HYPERLINK("http://www.sah.co.rs/hb2-bc51.html?___store=serbian"," Pogledajte proizvod na sajtu -&gt;")</f>
        <v> Pogledajte proizvod na sajtu -&gt;</v>
      </c>
    </row>
    <row r="216" spans="1:6" ht="12.75">
      <c r="A216" s="2">
        <v>215</v>
      </c>
      <c r="B216" t="s">
        <v>3954</v>
      </c>
      <c r="C216" t="s">
        <v>3955</v>
      </c>
      <c r="D216" s="2">
        <v>500</v>
      </c>
      <c r="E216" s="2">
        <v>0.25</v>
      </c>
      <c r="F216" s="3" t="str">
        <f>HYPERLINK("http://www.sah.co.rs/pbs-11a-crni.html?___store=serbian"," Pogledajte proizvod na sajtu -&gt;")</f>
        <v> Pogledajte proizvod na sajtu -&gt;</v>
      </c>
    </row>
    <row r="217" spans="1:6" ht="12.75">
      <c r="A217" s="2">
        <v>216</v>
      </c>
      <c r="B217" t="s">
        <v>3956</v>
      </c>
      <c r="C217" t="s">
        <v>3957</v>
      </c>
      <c r="D217" s="2">
        <v>1000</v>
      </c>
      <c r="E217" s="2">
        <v>0.25</v>
      </c>
      <c r="F217" s="3" t="str">
        <f>HYPERLINK("http://www.sah.co.rs/pbs-11a-crveni.html?___store=serbian"," Pogledajte proizvod na sajtu -&gt;")</f>
        <v> Pogledajte proizvod na sajtu -&gt;</v>
      </c>
    </row>
    <row r="218" spans="1:6" ht="12.75">
      <c r="A218" s="2">
        <v>217</v>
      </c>
      <c r="B218" t="s">
        <v>3958</v>
      </c>
      <c r="C218" t="s">
        <v>3959</v>
      </c>
      <c r="D218" s="2">
        <v>989</v>
      </c>
      <c r="E218" s="2">
        <v>0.25</v>
      </c>
      <c r="F218" s="3" t="str">
        <f>HYPERLINK("http://www.sah.co.rs/pbs-11a-zeleni.html?___store=serbian"," Pogledajte proizvod na sajtu -&gt;")</f>
        <v> Pogledajte proizvod na sajtu -&gt;</v>
      </c>
    </row>
    <row r="219" spans="1:6" ht="12.75">
      <c r="A219" s="2">
        <v>218</v>
      </c>
      <c r="B219" t="s">
        <v>3960</v>
      </c>
      <c r="C219" t="s">
        <v>3961</v>
      </c>
      <c r="D219" s="2">
        <v>500</v>
      </c>
      <c r="E219" s="2">
        <v>0.25</v>
      </c>
      <c r="F219" s="3" t="str">
        <f>HYPERLINK("http://www.sah.co.rs/pbs-11a-zuti.html?___store=serbian"," Pogledajte proizvod na sajtu -&gt;")</f>
        <v> Pogledajte proizvod na sajtu -&gt;</v>
      </c>
    </row>
    <row r="220" spans="1:6" ht="12.75">
      <c r="A220" s="2">
        <v>219</v>
      </c>
      <c r="B220" t="s">
        <v>3962</v>
      </c>
      <c r="C220" t="s">
        <v>3963</v>
      </c>
      <c r="D220" s="2">
        <v>161</v>
      </c>
      <c r="E220" s="2">
        <v>2.5</v>
      </c>
      <c r="F220" s="3" t="str">
        <f>HYPERLINK("http://www.sah.co.rs/gxb2-bj53.html?___store=serbian"," Pogledajte proizvod na sajtu -&gt;")</f>
        <v> Pogledajte proizvod na sajtu -&gt;</v>
      </c>
    </row>
    <row r="221" spans="1:6" ht="12.75">
      <c r="A221" s="2">
        <v>220</v>
      </c>
      <c r="B221" t="s">
        <v>3964</v>
      </c>
      <c r="C221" t="s">
        <v>3963</v>
      </c>
      <c r="D221" s="2">
        <v>313</v>
      </c>
      <c r="E221" s="2">
        <v>1.7</v>
      </c>
      <c r="F221" s="3" t="str">
        <f>HYPERLINK("http://www.sah.co.rs/hb2-bd53.html?___store=serbian"," Pogledajte proizvod na sajtu -&gt;")</f>
        <v> Pogledajte proizvod na sajtu -&gt;</v>
      </c>
    </row>
    <row r="222" spans="1:6" ht="12.75">
      <c r="A222" s="2">
        <v>221</v>
      </c>
      <c r="B222" t="s">
        <v>3965</v>
      </c>
      <c r="C222" t="s">
        <v>3963</v>
      </c>
      <c r="D222" s="2">
        <v>241</v>
      </c>
      <c r="E222" s="2">
        <v>1.7</v>
      </c>
      <c r="F222" s="3" t="str">
        <f>HYPERLINK("http://www.sah.co.rs/hb2-bj53.html?___store=serbian"," Pogledajte proizvod na sajtu -&gt;")</f>
        <v> Pogledajte proizvod na sajtu -&gt;</v>
      </c>
    </row>
    <row r="223" spans="1:6" ht="12.75">
      <c r="A223" s="2">
        <v>222</v>
      </c>
      <c r="B223" t="s">
        <v>3966</v>
      </c>
      <c r="C223" t="s">
        <v>3963</v>
      </c>
      <c r="D223" s="2">
        <v>211</v>
      </c>
      <c r="E223" s="2">
        <v>2.5</v>
      </c>
      <c r="F223" s="3" t="str">
        <f>HYPERLINK("http://www.sah.co.rs/gxb2-bd53.html?___store=serbian"," Pogledajte proizvod na sajtu -&gt;")</f>
        <v> Pogledajte proizvod na sajtu -&gt;</v>
      </c>
    </row>
    <row r="224" spans="1:6" ht="12.75">
      <c r="A224" s="2">
        <v>223</v>
      </c>
      <c r="B224" t="s">
        <v>3967</v>
      </c>
      <c r="C224" t="s">
        <v>3968</v>
      </c>
      <c r="D224" s="2">
        <v>102</v>
      </c>
      <c r="E224" s="2">
        <v>2</v>
      </c>
      <c r="F224" s="3" t="str">
        <f>HYPERLINK("http://www.sah.co.rs/gxb2-bj41.html?___store=serbian"," Pogledajte proizvod na sajtu -&gt;")</f>
        <v> Pogledajte proizvod na sajtu -&gt;</v>
      </c>
    </row>
    <row r="225" spans="1:6" ht="12.75">
      <c r="A225" s="2">
        <v>224</v>
      </c>
      <c r="B225" t="s">
        <v>3969</v>
      </c>
      <c r="C225" t="s">
        <v>3968</v>
      </c>
      <c r="D225" s="2">
        <v>48</v>
      </c>
      <c r="E225" s="2">
        <v>1.3</v>
      </c>
      <c r="F225" s="3" t="str">
        <f>HYPERLINK("http://www.sah.co.rs/hb2-bd41.html?___store=serbian"," Pogledajte proizvod na sajtu -&gt;")</f>
        <v> Pogledajte proizvod na sajtu -&gt;</v>
      </c>
    </row>
    <row r="226" spans="1:6" ht="12.75">
      <c r="A226" s="2">
        <v>225</v>
      </c>
      <c r="B226" t="s">
        <v>3970</v>
      </c>
      <c r="C226" t="s">
        <v>3968</v>
      </c>
      <c r="D226" s="2">
        <v>187</v>
      </c>
      <c r="E226" s="2">
        <v>1.3</v>
      </c>
      <c r="F226" s="3" t="str">
        <f>HYPERLINK("http://www.sah.co.rs/hb2-bj41.html?___store=serbian"," Pogledajte proizvod na sajtu -&gt;")</f>
        <v> Pogledajte proizvod na sajtu -&gt;</v>
      </c>
    </row>
    <row r="227" spans="1:6" ht="12.75">
      <c r="A227" s="2">
        <v>226</v>
      </c>
      <c r="B227" t="s">
        <v>3971</v>
      </c>
      <c r="C227" t="s">
        <v>3968</v>
      </c>
      <c r="D227" s="2">
        <v>79</v>
      </c>
      <c r="E227" s="2">
        <v>2</v>
      </c>
      <c r="F227" s="3" t="str">
        <f>HYPERLINK("http://www.sah.co.rs/gxb2-bd41.html?___store=serbian"," Pogledajte proizvod na sajtu -&gt;")</f>
        <v> Pogledajte proizvod na sajtu -&gt;</v>
      </c>
    </row>
    <row r="228" spans="1:6" ht="12.75">
      <c r="A228" s="2">
        <v>227</v>
      </c>
      <c r="B228" t="s">
        <v>3972</v>
      </c>
      <c r="C228" t="s">
        <v>3973</v>
      </c>
      <c r="D228" s="2">
        <v>36</v>
      </c>
      <c r="E228" s="2">
        <v>2.8</v>
      </c>
      <c r="F228" s="3" t="str">
        <f>HYPERLINK("http://www.sah.co.rs/hb2-bg61.html?___store=serbian","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33.8515625" style="0" customWidth="1"/>
    <col min="3" max="3" width="68.71093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3974</v>
      </c>
      <c r="C2" t="s">
        <v>3975</v>
      </c>
      <c r="D2" s="2">
        <v>26</v>
      </c>
      <c r="E2" s="2">
        <v>1</v>
      </c>
      <c r="F2" s="3" t="str">
        <f>HYPERLINK("http://www.sah.co.rs/la115-22fw-alat-za-pritezanje.html?___store=serbian"," Pogledajte proizvod na sajtu -&gt;")</f>
        <v> Pogledajte proizvod na sajtu -&gt;</v>
      </c>
    </row>
    <row r="3" spans="1:6" ht="12.75">
      <c r="A3" s="2">
        <v>2</v>
      </c>
      <c r="B3" t="s">
        <v>3976</v>
      </c>
      <c r="C3" t="s">
        <v>3977</v>
      </c>
      <c r="D3" s="2">
        <v>198</v>
      </c>
      <c r="E3" s="2">
        <v>0.3</v>
      </c>
      <c r="F3" s="3" t="str">
        <f>HYPERLINK("http://www.sah.co.rs/la115-hb-emergency-stop.html?___store=serbian"," Pogledajte proizvod na sajtu -&gt;")</f>
        <v> Pogledajte proizvod na sajtu -&gt;</v>
      </c>
    </row>
    <row r="4" spans="1:6" ht="12.75">
      <c r="A4" s="2">
        <v>3</v>
      </c>
      <c r="B4" t="s">
        <v>3978</v>
      </c>
      <c r="C4" t="s">
        <v>3979</v>
      </c>
      <c r="D4" s="2">
        <v>161</v>
      </c>
      <c r="E4" s="2">
        <v>1.5</v>
      </c>
      <c r="F4" s="3" t="str">
        <f>HYPERLINK("http://www.sah.co.rs/mp019e-con-konektor-sa-kablovima.html?___store=serbian"," Pogledajte proizvod na sajtu -&gt;")</f>
        <v> Pogledajte proizvod na sajtu -&gt;</v>
      </c>
    </row>
    <row r="5" spans="1:6" ht="12.75">
      <c r="A5" s="2">
        <v>4</v>
      </c>
      <c r="B5" t="s">
        <v>3980</v>
      </c>
      <c r="C5" t="s">
        <v>3981</v>
      </c>
      <c r="D5" s="2">
        <v>287</v>
      </c>
      <c r="E5" s="2">
        <v>1.5</v>
      </c>
      <c r="F5" s="3" t="str">
        <f>HYPERLINK("http://www.sah.co.rs/mp022e-con-konektor-sa-kablovima.html?___store=serbian"," Pogledajte proizvod na sajtu -&gt;")</f>
        <v> Pogledajte proizvod na sajtu -&gt;</v>
      </c>
    </row>
    <row r="6" spans="1:6" ht="12.75">
      <c r="A6" s="2">
        <v>5</v>
      </c>
      <c r="B6" t="s">
        <v>3982</v>
      </c>
      <c r="C6" t="s">
        <v>3983</v>
      </c>
      <c r="D6" s="2">
        <v>30</v>
      </c>
      <c r="E6" s="2">
        <v>1</v>
      </c>
      <c r="F6" s="3" t="str">
        <f>HYPERLINK("http://www.sah.co.rs/gq38-b-d-beli-12v-ac-dc.html?___store=serbian"," Pogledajte proizvod na sajtu -&gt;")</f>
        <v> Pogledajte proizvod na sajtu -&gt;</v>
      </c>
    </row>
    <row r="7" spans="1:6" ht="12.75">
      <c r="A7" s="2">
        <v>6</v>
      </c>
      <c r="B7" t="s">
        <v>3984</v>
      </c>
      <c r="C7" t="s">
        <v>3985</v>
      </c>
      <c r="D7" s="2">
        <v>50</v>
      </c>
      <c r="E7" s="2">
        <v>1</v>
      </c>
      <c r="F7" s="3" t="str">
        <f>HYPERLINK("http://www.sah.co.rs/gq38-b-d-beli-220v-ac.html?___store=serbian"," Pogledajte proizvod na sajtu -&gt;")</f>
        <v> Pogledajte proizvod na sajtu -&gt;</v>
      </c>
    </row>
    <row r="8" spans="1:6" ht="12.75">
      <c r="A8" s="2">
        <v>7</v>
      </c>
      <c r="B8" t="s">
        <v>3986</v>
      </c>
      <c r="C8" t="s">
        <v>3987</v>
      </c>
      <c r="D8" s="2">
        <v>132</v>
      </c>
      <c r="E8" s="2">
        <v>0.5</v>
      </c>
      <c r="F8" s="3" t="str">
        <f>HYPERLINK("http://www.sah.co.rs/ba9s-beli-220v-ac.html?___store=serbian"," Pogledajte proizvod na sajtu -&gt;")</f>
        <v> Pogledajte proizvod na sajtu -&gt;</v>
      </c>
    </row>
    <row r="9" spans="1:6" ht="12.75">
      <c r="A9" s="2">
        <v>8</v>
      </c>
      <c r="B9" t="s">
        <v>3988</v>
      </c>
      <c r="C9" t="s">
        <v>3989</v>
      </c>
      <c r="D9" s="2">
        <v>100</v>
      </c>
      <c r="E9" s="2">
        <v>1</v>
      </c>
      <c r="F9" s="3" t="str">
        <f>HYPERLINK("http://www.sah.co.rs/la115-b-d-beli-220v-ac.html?___store=serbian"," Pogledajte proizvod na sajtu -&gt;")</f>
        <v> Pogledajte proizvod na sajtu -&gt;</v>
      </c>
    </row>
    <row r="10" spans="1:6" ht="12.75">
      <c r="A10" s="2">
        <v>9</v>
      </c>
      <c r="B10" t="s">
        <v>3990</v>
      </c>
      <c r="C10" t="s">
        <v>3991</v>
      </c>
      <c r="D10" s="2">
        <v>15</v>
      </c>
      <c r="E10" s="2">
        <v>0.5</v>
      </c>
      <c r="F10" s="3" t="str">
        <f>HYPERLINK("http://www.sah.co.rs/ba9s-beli-24v-ac-dc.html?___store=serbian"," Pogledajte proizvod na sajtu -&gt;")</f>
        <v> Pogledajte proizvod na sajtu -&gt;</v>
      </c>
    </row>
    <row r="11" spans="1:6" ht="12.75">
      <c r="A11" s="2">
        <v>10</v>
      </c>
      <c r="B11" t="s">
        <v>3992</v>
      </c>
      <c r="C11" t="s">
        <v>3993</v>
      </c>
      <c r="D11" s="2">
        <v>141</v>
      </c>
      <c r="E11" s="2">
        <v>1</v>
      </c>
      <c r="F11" s="3" t="str">
        <f>HYPERLINK("http://www.sah.co.rs/la115-b-d-beli-24v-ac-dc.html?___store=serbian"," Pogledajte proizvod na sajtu -&gt;")</f>
        <v> Pogledajte proizvod na sajtu -&gt;</v>
      </c>
    </row>
    <row r="12" spans="1:6" ht="12.75">
      <c r="A12" s="2">
        <v>11</v>
      </c>
      <c r="B12" t="s">
        <v>3994</v>
      </c>
      <c r="C12" t="s">
        <v>3995</v>
      </c>
      <c r="D12" s="2">
        <v>40</v>
      </c>
      <c r="E12" s="2">
        <v>1</v>
      </c>
      <c r="F12" s="3" t="str">
        <f>HYPERLINK("http://www.sah.co.rs/gq38-b-d-crveni-12v-ac-dc.html?___store=serbian"," Pogledajte proizvod na sajtu -&gt;")</f>
        <v> Pogledajte proizvod na sajtu -&gt;</v>
      </c>
    </row>
    <row r="13" spans="1:6" ht="12.75">
      <c r="A13" s="2">
        <v>12</v>
      </c>
      <c r="B13" t="s">
        <v>3996</v>
      </c>
      <c r="C13" t="s">
        <v>3997</v>
      </c>
      <c r="D13" s="2">
        <v>159</v>
      </c>
      <c r="E13" s="2">
        <v>1</v>
      </c>
      <c r="F13" s="3" t="str">
        <f>HYPERLINK("http://www.sah.co.rs/gq38-b-d-crveni-220v-ac.html?___store=serbian"," Pogledajte proizvod na sajtu -&gt;")</f>
        <v> Pogledajte proizvod na sajtu -&gt;</v>
      </c>
    </row>
    <row r="14" spans="1:6" ht="12.75">
      <c r="A14" s="2">
        <v>13</v>
      </c>
      <c r="B14" t="s">
        <v>3998</v>
      </c>
      <c r="C14" t="s">
        <v>3999</v>
      </c>
      <c r="D14" s="2">
        <v>279</v>
      </c>
      <c r="E14" s="2">
        <v>0.4</v>
      </c>
      <c r="F14" s="3" t="str">
        <f>HYPERLINK("http://www.sah.co.rs/ba9s-crveni-220v-ac.html?___store=serbian"," Pogledajte proizvod na sajtu -&gt;")</f>
        <v> Pogledajte proizvod na sajtu -&gt;</v>
      </c>
    </row>
    <row r="15" spans="1:6" ht="12.75">
      <c r="A15" s="2">
        <v>14</v>
      </c>
      <c r="B15" t="s">
        <v>4000</v>
      </c>
      <c r="C15" t="s">
        <v>4001</v>
      </c>
      <c r="D15" s="2">
        <v>285</v>
      </c>
      <c r="E15" s="2">
        <v>1</v>
      </c>
      <c r="F15" s="3" t="str">
        <f>HYPERLINK("http://www.sah.co.rs/la115-b-d-crveni-220v-ac.html?___store=serbian"," Pogledajte proizvod na sajtu -&gt;")</f>
        <v> Pogledajte proizvod na sajtu -&gt;</v>
      </c>
    </row>
    <row r="16" spans="1:6" ht="12.75">
      <c r="A16" s="2">
        <v>15</v>
      </c>
      <c r="B16" t="s">
        <v>4002</v>
      </c>
      <c r="C16" t="s">
        <v>4003</v>
      </c>
      <c r="D16" s="2">
        <v>326</v>
      </c>
      <c r="E16" s="2">
        <v>0.4</v>
      </c>
      <c r="F16" s="3" t="str">
        <f>HYPERLINK("http://www.sah.co.rs/ba9s-crveni-24v-ac-dc.html?___store=serbian"," Pogledajte proizvod na sajtu -&gt;")</f>
        <v> Pogledajte proizvod na sajtu -&gt;</v>
      </c>
    </row>
    <row r="17" spans="1:6" ht="12.75">
      <c r="A17" s="2">
        <v>16</v>
      </c>
      <c r="B17" t="s">
        <v>4004</v>
      </c>
      <c r="C17" t="s">
        <v>4005</v>
      </c>
      <c r="D17" s="2">
        <v>558</v>
      </c>
      <c r="E17" s="2">
        <v>1</v>
      </c>
      <c r="F17" s="3" t="str">
        <f>HYPERLINK("http://www.sah.co.rs/la115-b-d-crveni-24v-ac-dc.html?___store=serbian"," Pogledajte proizvod na sajtu -&gt;")</f>
        <v> Pogledajte proizvod na sajtu -&gt;</v>
      </c>
    </row>
    <row r="18" spans="1:6" ht="12.75">
      <c r="A18" s="2">
        <v>17</v>
      </c>
      <c r="B18" t="s">
        <v>4006</v>
      </c>
      <c r="C18" t="s">
        <v>4007</v>
      </c>
      <c r="D18" s="2">
        <v>18</v>
      </c>
      <c r="E18" s="2">
        <v>1</v>
      </c>
      <c r="F18" s="3" t="str">
        <f>HYPERLINK("http://www.sah.co.rs/gq38-b-d-plavi-12v-ac-dc.html?___store=serbian"," Pogledajte proizvod na sajtu -&gt;")</f>
        <v> Pogledajte proizvod na sajtu -&gt;</v>
      </c>
    </row>
    <row r="19" spans="1:6" ht="12.75">
      <c r="A19" s="2">
        <v>18</v>
      </c>
      <c r="B19" t="s">
        <v>4008</v>
      </c>
      <c r="C19" t="s">
        <v>4009</v>
      </c>
      <c r="D19" s="2">
        <v>49</v>
      </c>
      <c r="E19" s="2">
        <v>1</v>
      </c>
      <c r="F19" s="3" t="str">
        <f>HYPERLINK("http://www.sah.co.rs/gq38-b-d-plavi-220v-ac.html?___store=serbian"," Pogledajte proizvod na sajtu -&gt;")</f>
        <v> Pogledajte proizvod na sajtu -&gt;</v>
      </c>
    </row>
    <row r="20" spans="1:6" ht="12.75">
      <c r="A20" s="2">
        <v>19</v>
      </c>
      <c r="B20" t="s">
        <v>4010</v>
      </c>
      <c r="C20" t="s">
        <v>4011</v>
      </c>
      <c r="D20" s="2">
        <v>139</v>
      </c>
      <c r="E20" s="2">
        <v>0.4</v>
      </c>
      <c r="F20" s="3" t="str">
        <f>HYPERLINK("http://www.sah.co.rs/ba9s-plavi-220v-ac.html?___store=serbian"," Pogledajte proizvod na sajtu -&gt;")</f>
        <v> Pogledajte proizvod na sajtu -&gt;</v>
      </c>
    </row>
    <row r="21" spans="1:6" ht="12.75">
      <c r="A21" s="2">
        <v>20</v>
      </c>
      <c r="B21" t="s">
        <v>4012</v>
      </c>
      <c r="C21" t="s">
        <v>4013</v>
      </c>
      <c r="D21" s="2">
        <v>85</v>
      </c>
      <c r="E21" s="2">
        <v>1</v>
      </c>
      <c r="F21" s="3" t="str">
        <f>HYPERLINK("http://www.sah.co.rs/la115-b-d-plavi-220v-ac.html?___store=serbian"," Pogledajte proizvod na sajtu -&gt;")</f>
        <v> Pogledajte proizvod na sajtu -&gt;</v>
      </c>
    </row>
    <row r="22" spans="1:6" ht="12.75">
      <c r="A22" s="2">
        <v>21</v>
      </c>
      <c r="B22" t="s">
        <v>4014</v>
      </c>
      <c r="C22" t="s">
        <v>4015</v>
      </c>
      <c r="D22" s="2">
        <v>126</v>
      </c>
      <c r="E22" s="2">
        <v>0.4</v>
      </c>
      <c r="F22" s="3" t="str">
        <f>HYPERLINK("http://www.sah.co.rs/ba9s-plavi-24v-ac-dc.html?___store=serbian"," Pogledajte proizvod na sajtu -&gt;")</f>
        <v> Pogledajte proizvod na sajtu -&gt;</v>
      </c>
    </row>
    <row r="23" spans="1:6" ht="12.75">
      <c r="A23" s="2">
        <v>22</v>
      </c>
      <c r="B23" t="s">
        <v>4016</v>
      </c>
      <c r="C23" t="s">
        <v>4017</v>
      </c>
      <c r="D23" s="2">
        <v>98</v>
      </c>
      <c r="E23" s="2">
        <v>1</v>
      </c>
      <c r="F23" s="3" t="str">
        <f>HYPERLINK("http://www.sah.co.rs/la115-b-d-plavi-24v-ac-dc.html?___store=serbian"," Pogledajte proizvod na sajtu -&gt;")</f>
        <v> Pogledajte proizvod na sajtu -&gt;</v>
      </c>
    </row>
    <row r="24" spans="1:6" ht="12.75">
      <c r="A24" s="2">
        <v>23</v>
      </c>
      <c r="B24" t="s">
        <v>4018</v>
      </c>
      <c r="C24" t="s">
        <v>4019</v>
      </c>
      <c r="D24" s="2">
        <v>42</v>
      </c>
      <c r="E24" s="2">
        <v>1</v>
      </c>
      <c r="F24" s="3" t="str">
        <f>HYPERLINK("http://www.sah.co.rs/gq38-b-d-zeleni-12v-ac-dc.html?___store=serbian"," Pogledajte proizvod na sajtu -&gt;")</f>
        <v> Pogledajte proizvod na sajtu -&gt;</v>
      </c>
    </row>
    <row r="25" spans="1:6" ht="12.75">
      <c r="A25" s="2">
        <v>24</v>
      </c>
      <c r="B25" t="s">
        <v>4020</v>
      </c>
      <c r="C25" t="s">
        <v>4021</v>
      </c>
      <c r="D25" s="2">
        <v>160</v>
      </c>
      <c r="E25" s="2">
        <v>1</v>
      </c>
      <c r="F25" s="3" t="str">
        <f>HYPERLINK("http://www.sah.co.rs/gq38-b-d-zeleni-220v-ac.html?___store=serbian"," Pogledajte proizvod na sajtu -&gt;")</f>
        <v> Pogledajte proizvod na sajtu -&gt;</v>
      </c>
    </row>
    <row r="26" spans="1:6" ht="12.75">
      <c r="A26" s="2">
        <v>25</v>
      </c>
      <c r="B26" t="s">
        <v>4022</v>
      </c>
      <c r="C26" t="s">
        <v>4023</v>
      </c>
      <c r="D26" s="2">
        <v>501</v>
      </c>
      <c r="E26" s="2">
        <v>0.4</v>
      </c>
      <c r="F26" s="3" t="str">
        <f>HYPERLINK("http://www.sah.co.rs/ba9s-zeleni-220v-ac.html?___store=serbian"," Pogledajte proizvod na sajtu -&gt;")</f>
        <v> Pogledajte proizvod na sajtu -&gt;</v>
      </c>
    </row>
    <row r="27" spans="1:6" ht="12.75">
      <c r="A27" s="2">
        <v>26</v>
      </c>
      <c r="B27" t="s">
        <v>4024</v>
      </c>
      <c r="C27" t="s">
        <v>4025</v>
      </c>
      <c r="D27" s="2">
        <v>322</v>
      </c>
      <c r="E27" s="2">
        <v>1</v>
      </c>
      <c r="F27" s="3" t="str">
        <f>HYPERLINK("http://www.sah.co.rs/la115-b-d-zeleni-220v-ac.html?___store=serbian"," Pogledajte proizvod na sajtu -&gt;")</f>
        <v> Pogledajte proizvod na sajtu -&gt;</v>
      </c>
    </row>
    <row r="28" spans="1:6" ht="12.75">
      <c r="A28" s="2">
        <v>27</v>
      </c>
      <c r="B28" t="s">
        <v>4026</v>
      </c>
      <c r="C28" t="s">
        <v>4027</v>
      </c>
      <c r="D28" s="2">
        <v>214</v>
      </c>
      <c r="E28" s="2">
        <v>0.4</v>
      </c>
      <c r="F28" s="3" t="str">
        <f>HYPERLINK("http://www.sah.co.rs/ba9s-zeleni-24v-ac-dc.html?___store=serbian"," Pogledajte proizvod na sajtu -&gt;")</f>
        <v> Pogledajte proizvod na sajtu -&gt;</v>
      </c>
    </row>
    <row r="29" spans="1:6" ht="12.75">
      <c r="A29" s="2">
        <v>28</v>
      </c>
      <c r="B29" t="s">
        <v>4028</v>
      </c>
      <c r="C29" t="s">
        <v>4029</v>
      </c>
      <c r="D29" s="2">
        <v>367</v>
      </c>
      <c r="E29" s="2">
        <v>1</v>
      </c>
      <c r="F29" s="3" t="str">
        <f>HYPERLINK("http://www.sah.co.rs/la115-b-d-zeleni-24v-ac-dc.html?___store=serbian"," Pogledajte proizvod na sajtu -&gt;")</f>
        <v> Pogledajte proizvod na sajtu -&gt;</v>
      </c>
    </row>
    <row r="30" spans="1:6" ht="12.75">
      <c r="A30" s="2">
        <v>29</v>
      </c>
      <c r="B30" t="s">
        <v>4030</v>
      </c>
      <c r="C30" t="s">
        <v>4031</v>
      </c>
      <c r="D30" s="2">
        <v>42</v>
      </c>
      <c r="E30" s="2">
        <v>1</v>
      </c>
      <c r="F30" s="3" t="str">
        <f>HYPERLINK("http://www.sah.co.rs/gq38-b-d-zuti-12v-ac-dc.html?___store=serbian"," Pogledajte proizvod na sajtu -&gt;")</f>
        <v> Pogledajte proizvod na sajtu -&gt;</v>
      </c>
    </row>
    <row r="31" spans="1:6" ht="12.75">
      <c r="A31" s="2">
        <v>30</v>
      </c>
      <c r="B31" t="s">
        <v>4032</v>
      </c>
      <c r="C31" t="s">
        <v>4033</v>
      </c>
      <c r="D31" s="2">
        <v>50</v>
      </c>
      <c r="E31" s="2">
        <v>1</v>
      </c>
      <c r="F31" s="3" t="str">
        <f>HYPERLINK("http://www.sah.co.rs/gq38-b-d-zuti-220v-ac.html?___store=serbian"," Pogledajte proizvod na sajtu -&gt;")</f>
        <v> Pogledajte proizvod na sajtu -&gt;</v>
      </c>
    </row>
    <row r="32" spans="1:6" ht="12.75">
      <c r="A32" s="2">
        <v>31</v>
      </c>
      <c r="B32" t="s">
        <v>4034</v>
      </c>
      <c r="C32" t="s">
        <v>4035</v>
      </c>
      <c r="D32" s="2">
        <v>246</v>
      </c>
      <c r="E32" s="2">
        <v>0.4</v>
      </c>
      <c r="F32" s="3" t="str">
        <f>HYPERLINK("http://www.sah.co.rs/ba9s-zuti-220v-ac.html?___store=serbian"," Pogledajte proizvod na sajtu -&gt;")</f>
        <v> Pogledajte proizvod na sajtu -&gt;</v>
      </c>
    </row>
    <row r="33" spans="1:6" ht="12.75">
      <c r="A33" s="2">
        <v>32</v>
      </c>
      <c r="B33" t="s">
        <v>4036</v>
      </c>
      <c r="C33" t="s">
        <v>4037</v>
      </c>
      <c r="D33" s="2">
        <v>222</v>
      </c>
      <c r="E33" s="2">
        <v>1</v>
      </c>
      <c r="F33" s="3" t="str">
        <f>HYPERLINK("http://www.sah.co.rs/la115-b-d-zuti-220v-ac.html?___store=serbian"," Pogledajte proizvod na sajtu -&gt;")</f>
        <v> Pogledajte proizvod na sajtu -&gt;</v>
      </c>
    </row>
    <row r="34" spans="1:6" ht="12.75">
      <c r="A34" s="2">
        <v>33</v>
      </c>
      <c r="B34" t="s">
        <v>4038</v>
      </c>
      <c r="C34" t="s">
        <v>4039</v>
      </c>
      <c r="D34" s="2">
        <v>129</v>
      </c>
      <c r="E34" s="2">
        <v>0.4</v>
      </c>
      <c r="F34" s="3" t="str">
        <f>HYPERLINK("http://www.sah.co.rs/ba9s-zuti-24v-ac-dc.html?___store=serbian"," Pogledajte proizvod na sajtu -&gt;")</f>
        <v> Pogledajte proizvod na sajtu -&gt;</v>
      </c>
    </row>
    <row r="35" spans="1:6" ht="12.75">
      <c r="A35" s="2">
        <v>34</v>
      </c>
      <c r="B35" t="s">
        <v>4040</v>
      </c>
      <c r="C35" t="s">
        <v>4041</v>
      </c>
      <c r="D35" s="2">
        <v>63</v>
      </c>
      <c r="E35" s="2">
        <v>1</v>
      </c>
      <c r="F35" s="3" t="str">
        <f>HYPERLINK("http://www.sah.co.rs/la115-b-d-zuti-24v-ac-dc.html?___store=serbian"," Pogledajte proizvod na sajtu -&gt;")</f>
        <v> Pogledajte proizvod na sajtu -&gt;</v>
      </c>
    </row>
    <row r="36" spans="1:6" ht="12.75">
      <c r="A36" s="2">
        <v>35</v>
      </c>
      <c r="B36" t="s">
        <v>4042</v>
      </c>
      <c r="C36" t="s">
        <v>4043</v>
      </c>
      <c r="D36" s="2">
        <v>2408</v>
      </c>
      <c r="E36" s="2">
        <v>0.3</v>
      </c>
      <c r="F36" s="3" t="str">
        <f>HYPERLINK("http://www.sah.co.rs/gxb2-eh2201-plocica-za-obelezavanje.html?___store=serbian"," Pogledajte proizvod na sajtu -&gt;")</f>
        <v> Pogledajte proizvod na sajtu -&gt;</v>
      </c>
    </row>
    <row r="37" spans="1:6" ht="12.75">
      <c r="A37" s="2">
        <v>36</v>
      </c>
      <c r="B37" t="s">
        <v>4044</v>
      </c>
      <c r="C37" t="s">
        <v>4045</v>
      </c>
      <c r="D37" s="2">
        <v>21</v>
      </c>
      <c r="E37" s="2">
        <v>2</v>
      </c>
      <c r="F37" s="3" t="str">
        <f>HYPERLINK("http://www.sah.co.rs/gxb2-eb22p-zastitna-kapa.html?___store=serbian"," Pogledajte proizvod na sajtu -&gt;")</f>
        <v> Pogledajte proizvod na sajtu -&gt;</v>
      </c>
    </row>
    <row r="38" spans="1:6" ht="12.75">
      <c r="A38" s="2">
        <v>37</v>
      </c>
      <c r="B38" t="s">
        <v>4046</v>
      </c>
      <c r="C38" t="s">
        <v>4047</v>
      </c>
      <c r="D38" s="2">
        <v>1251</v>
      </c>
      <c r="E38" s="2">
        <v>0.1</v>
      </c>
      <c r="F38" s="3" t="str">
        <f>HYPERLINK("http://www.sah.co.rs/gxb2-em01-nalepnica.html?___store=serbian"," Pogledajte proizvod na sajtu -&gt;")</f>
        <v> Pogledajte proizvod na sajtu -&gt;</v>
      </c>
    </row>
    <row r="39" spans="1:6" ht="12.75">
      <c r="A39" s="2">
        <v>38</v>
      </c>
      <c r="B39" t="s">
        <v>4048</v>
      </c>
      <c r="C39" t="s">
        <v>4049</v>
      </c>
      <c r="D39" s="2">
        <v>600</v>
      </c>
      <c r="E39" s="2">
        <v>1</v>
      </c>
      <c r="F39" s="3" t="str">
        <f>HYPERLINK("http://www.sah.co.rs/gxb2-eb30-plasticna-zastita.html?___store=serbian"," Pogledajte proizvod na sajtu -&gt;")</f>
        <v> Pogledajte proizvod na sajtu -&gt;</v>
      </c>
    </row>
    <row r="40" spans="1:6" ht="12.75">
      <c r="A40" s="2">
        <v>39</v>
      </c>
      <c r="B40" t="s">
        <v>4050</v>
      </c>
      <c r="C40" t="s">
        <v>4051</v>
      </c>
      <c r="D40" s="2">
        <v>493</v>
      </c>
      <c r="E40" s="2">
        <v>1</v>
      </c>
      <c r="F40" s="3" t="str">
        <f>HYPERLINK("http://www.sah.co.rs/gxb2-eb40-plasticna-zastita.html?___store=serbian"," Pogledajte proizvod na sajtu -&gt;")</f>
        <v> Pogledajte proizvod na sajtu -&gt;</v>
      </c>
    </row>
    <row r="41" spans="1:6" ht="12.75">
      <c r="A41" s="2">
        <v>40</v>
      </c>
      <c r="B41" t="s">
        <v>4052</v>
      </c>
      <c r="C41" t="s">
        <v>4053</v>
      </c>
      <c r="D41" s="2">
        <v>163</v>
      </c>
      <c r="E41" s="2">
        <v>0.15</v>
      </c>
      <c r="F41" s="3" t="str">
        <f>HYPERLINK("http://www.sah.co.rs/gxb2-pb16-plasticni-cep.html?___store=serbian"," Pogledajte proizvod na sajtu -&gt;")</f>
        <v> Pogledajte proizvod na sajtu -&gt;</v>
      </c>
    </row>
    <row r="42" spans="1:6" ht="12.75">
      <c r="A42" s="2">
        <v>41</v>
      </c>
      <c r="B42" t="s">
        <v>4054</v>
      </c>
      <c r="C42" t="s">
        <v>4055</v>
      </c>
      <c r="D42" s="2">
        <v>984</v>
      </c>
      <c r="E42" s="2">
        <v>0.25</v>
      </c>
      <c r="F42" s="3" t="str">
        <f>HYPERLINK("http://www.sah.co.rs/gxb2-pb22-plasticni-cep.html?___store=serbian"," Pogledajte proizvod na sajtu -&gt;")</f>
        <v> Pogledajte proizvod na sajtu -&gt;</v>
      </c>
    </row>
    <row r="43" spans="1:6" ht="12.75">
      <c r="A43" s="2">
        <v>42</v>
      </c>
      <c r="B43" t="s">
        <v>4056</v>
      </c>
      <c r="C43" t="s">
        <v>4057</v>
      </c>
      <c r="D43" s="2">
        <v>75</v>
      </c>
      <c r="E43" s="2">
        <v>0.35</v>
      </c>
      <c r="F43" s="3" t="str">
        <f>HYPERLINK("http://www.sah.co.rs/gxb2-pb30-plasticni-cep.html?___store=serbian"," Pogledajte proizvod na sajtu -&gt;")</f>
        <v> Pogledajte proizvod na sajtu -&gt;</v>
      </c>
    </row>
    <row r="44" spans="1:6" ht="12.75">
      <c r="A44" s="2">
        <v>43</v>
      </c>
      <c r="B44" t="s">
        <v>4058</v>
      </c>
      <c r="C44" t="s">
        <v>4059</v>
      </c>
      <c r="D44" s="2">
        <v>353</v>
      </c>
      <c r="E44" s="2">
        <v>0.4</v>
      </c>
      <c r="F44" s="3" t="str">
        <f>HYPERLINK("http://www.sah.co.rs/be102.html?___store=serbian"," Pogledajte proizvod na sajtu -&gt;")</f>
        <v> Pogledajte proizvod na sajtu -&gt;</v>
      </c>
    </row>
    <row r="45" spans="1:6" ht="12.75">
      <c r="A45" s="2">
        <v>44</v>
      </c>
      <c r="B45" t="s">
        <v>4060</v>
      </c>
      <c r="C45" t="s">
        <v>4061</v>
      </c>
      <c r="D45" s="2">
        <v>631</v>
      </c>
      <c r="E45" s="2">
        <v>0.8</v>
      </c>
      <c r="F45" s="3" t="str">
        <f>HYPERLINK("http://www.sah.co.rs/la115-b-11.html?___store=serbian"," Pogledajte proizvod na sajtu -&gt;")</f>
        <v> Pogledajte proizvod na sajtu -&gt;</v>
      </c>
    </row>
    <row r="46" spans="1:6" ht="12.75">
      <c r="A46" s="2">
        <v>45</v>
      </c>
      <c r="B46" t="s">
        <v>4062</v>
      </c>
      <c r="C46" t="s">
        <v>4063</v>
      </c>
      <c r="D46" s="2">
        <v>467</v>
      </c>
      <c r="E46" s="2">
        <v>0.4</v>
      </c>
      <c r="F46" s="3" t="str">
        <f>HYPERLINK("http://www.sah.co.rs/be101.html?___store=serbian"," Pogledajte proizvod na sajtu -&gt;")</f>
        <v> Pogledajte proizvod na sajtu -&gt;</v>
      </c>
    </row>
    <row r="47" spans="1:6" ht="12.75">
      <c r="A47" s="2">
        <v>46</v>
      </c>
      <c r="B47" t="s">
        <v>4064</v>
      </c>
      <c r="C47" t="s">
        <v>4065</v>
      </c>
      <c r="D47" s="2">
        <v>126</v>
      </c>
      <c r="E47" s="2">
        <v>0.8</v>
      </c>
      <c r="F47" s="3" t="str">
        <f>HYPERLINK("http://www.sah.co.rs/la115-b-02.html?___store=serbian"," Pogledajte proizvod na sajtu -&gt;")</f>
        <v> Pogledajte proizvod na sajtu -&gt;</v>
      </c>
    </row>
    <row r="48" spans="1:6" ht="12.75">
      <c r="A48" s="2">
        <v>47</v>
      </c>
      <c r="B48" t="s">
        <v>4066</v>
      </c>
      <c r="C48" t="s">
        <v>4067</v>
      </c>
      <c r="D48" s="2">
        <v>1313</v>
      </c>
      <c r="E48" s="2">
        <v>0.8</v>
      </c>
      <c r="F48" s="3" t="str">
        <f>HYPERLINK("http://www.sah.co.rs/la115-b-20.html?___store=serbian"," Pogledajte proizvod na sajtu -&gt;")</f>
        <v> Pogledajte proizvod na sajtu -&gt;</v>
      </c>
    </row>
    <row r="49" spans="1:6" ht="12.75">
      <c r="A49" s="2">
        <v>48</v>
      </c>
      <c r="B49" t="s">
        <v>4068</v>
      </c>
      <c r="C49" t="s">
        <v>4069</v>
      </c>
      <c r="D49" s="2">
        <v>833</v>
      </c>
      <c r="E49" s="2">
        <v>0.15</v>
      </c>
      <c r="F49" s="3" t="str">
        <f>HYPERLINK("http://www.sah.co.rs/gxb2-er30-reducir.html?___store=serbian"," Pogledajte proizvod na sajtu -&gt;")</f>
        <v> Pogledajte proizvod na sajtu -&gt;</v>
      </c>
    </row>
    <row r="50" spans="1:6" ht="12.75">
      <c r="A50" s="2">
        <v>49</v>
      </c>
      <c r="B50" t="s">
        <v>4070</v>
      </c>
      <c r="C50" t="s">
        <v>4071</v>
      </c>
      <c r="D50" s="2">
        <v>901</v>
      </c>
      <c r="E50" s="2">
        <v>0.4</v>
      </c>
      <c r="F50" s="3" t="str">
        <f>HYPERLINK("http://www.sah.co.rs/gxb2-pe22b-silikonska-zastitna-kapa.html?___store=serbian"," Pogledajte proizvod na sajtu -&gt;")</f>
        <v> Pogledajte proizvod na sajtu -&gt;</v>
      </c>
    </row>
    <row r="51" spans="1:6" ht="12.75">
      <c r="A51" s="2">
        <v>50</v>
      </c>
      <c r="B51" t="s">
        <v>4072</v>
      </c>
      <c r="C51" t="s">
        <v>4073</v>
      </c>
      <c r="D51" s="2">
        <v>836</v>
      </c>
      <c r="E51" s="2">
        <v>0.2</v>
      </c>
      <c r="F51" s="3" t="str">
        <f>HYPERLINK("http://www.sah.co.rs/gxb2-pe22a-silikonska-zastitna-kapa.html?___store=serbian","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8.8515625" style="0" customWidth="1"/>
    <col min="3" max="3" width="34.71093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4074</v>
      </c>
      <c r="C2" t="s">
        <v>4075</v>
      </c>
      <c r="D2" s="2">
        <v>4</v>
      </c>
      <c r="E2" s="2">
        <v>3</v>
      </c>
      <c r="F2" s="3" t="str">
        <f>HYPERLINK("http://www.sah.co.rs/weight-100g.html?___store=serbian"," Pogledajte proizvod na sajtu -&gt;")</f>
        <v> Pogledajte proizvod na sajtu -&gt;</v>
      </c>
    </row>
    <row r="3" spans="1:6" ht="12.75">
      <c r="A3" s="2">
        <v>2</v>
      </c>
      <c r="B3" t="s">
        <v>4076</v>
      </c>
      <c r="C3" t="s">
        <v>4077</v>
      </c>
      <c r="D3" s="2">
        <v>27</v>
      </c>
      <c r="E3" s="2">
        <v>12</v>
      </c>
      <c r="F3" s="3" t="str">
        <f>HYPERLINK("http://www.sah.co.rs/weight-1kg.html?___store=serbian"," Pogledajte proizvod na sajtu -&gt;")</f>
        <v> Pogledajte proizvod na sajtu -&gt;</v>
      </c>
    </row>
    <row r="4" spans="1:6" ht="12.75">
      <c r="A4" s="2">
        <v>3</v>
      </c>
      <c r="B4" t="s">
        <v>4078</v>
      </c>
      <c r="C4" t="s">
        <v>4079</v>
      </c>
      <c r="D4" s="2">
        <v>0</v>
      </c>
      <c r="E4" s="2">
        <v>4</v>
      </c>
      <c r="F4" s="3" t="str">
        <f>HYPERLINK("http://www.sah.co.rs/weight-200g.html?___store=serbian"," Pogledajte proizvod na sajtu -&gt;")</f>
        <v> Pogledajte proizvod na sajtu -&gt;</v>
      </c>
    </row>
    <row r="5" spans="1:6" ht="12.75">
      <c r="A5" s="2">
        <v>4</v>
      </c>
      <c r="B5" t="s">
        <v>4080</v>
      </c>
      <c r="C5" t="s">
        <v>4081</v>
      </c>
      <c r="D5" s="2">
        <v>9</v>
      </c>
      <c r="E5" s="2">
        <v>20</v>
      </c>
      <c r="F5" s="3" t="str">
        <f>HYPERLINK("http://www.sah.co.rs/weight-2kg.html?___store=serbian"," Pogledajte proizvod na sajtu -&gt;")</f>
        <v> Pogledajte proizvod na sajtu -&gt;</v>
      </c>
    </row>
    <row r="6" spans="1:6" ht="12.75">
      <c r="A6" s="2">
        <v>5</v>
      </c>
      <c r="B6" t="s">
        <v>4082</v>
      </c>
      <c r="C6" t="s">
        <v>4083</v>
      </c>
      <c r="D6" s="2">
        <v>7</v>
      </c>
      <c r="E6" s="2">
        <v>7</v>
      </c>
      <c r="F6" s="3" t="str">
        <f>HYPERLINK("http://www.sah.co.rs/weight-500g.html?___store=serbian"," Pogledajte proizvod na sajtu -&gt;")</f>
        <v> Pogledajte proizvod na sajtu -&gt;</v>
      </c>
    </row>
    <row r="7" spans="1:6" ht="12.75">
      <c r="A7" s="2">
        <v>6</v>
      </c>
      <c r="B7" t="s">
        <v>4084</v>
      </c>
      <c r="C7" t="s">
        <v>4085</v>
      </c>
      <c r="D7" s="2">
        <v>4</v>
      </c>
      <c r="E7" s="2">
        <v>60</v>
      </c>
      <c r="F7" s="3" t="str">
        <f>HYPERLINK("http://www.sah.co.rs/weight-5kg.html?___store=serbian","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F127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31.140625" style="0" customWidth="1"/>
    <col min="3" max="3" width="97.1406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4086</v>
      </c>
      <c r="C2" t="s">
        <v>4087</v>
      </c>
      <c r="D2" s="2">
        <v>35</v>
      </c>
      <c r="E2" s="2">
        <v>10</v>
      </c>
      <c r="F2" s="3" t="str">
        <f>HYPERLINK("http://www.sah.co.rs/wrnk-o1x100mm-j-1-5m.html?___store=serbian"," Pogledajte proizvod na sajtu -&gt;")</f>
        <v> Pogledajte proizvod na sajtu -&gt;</v>
      </c>
    </row>
    <row r="3" spans="1:6" ht="12.75">
      <c r="A3" s="2">
        <v>2</v>
      </c>
      <c r="B3" t="s">
        <v>4088</v>
      </c>
      <c r="C3" t="s">
        <v>4089</v>
      </c>
      <c r="D3" s="2">
        <v>46</v>
      </c>
      <c r="E3" s="2">
        <v>11</v>
      </c>
      <c r="F3" s="3" t="str">
        <f>HYPERLINK("http://www.sah.co.rs/wrnk-o1x200mm-j-1-5m.html?___store=serbian"," Pogledajte proizvod na sajtu -&gt;")</f>
        <v> Pogledajte proizvod na sajtu -&gt;</v>
      </c>
    </row>
    <row r="4" spans="1:6" ht="12.75">
      <c r="A4" s="2">
        <v>3</v>
      </c>
      <c r="B4" t="s">
        <v>4090</v>
      </c>
      <c r="C4" t="s">
        <v>4091</v>
      </c>
      <c r="D4" s="2">
        <v>49</v>
      </c>
      <c r="E4" s="2">
        <v>12</v>
      </c>
      <c r="F4" s="3" t="str">
        <f>HYPERLINK("http://www.sah.co.rs/wrnk-o1x300mm-j-1-5m.html?___store=serbian"," Pogledajte proizvod na sajtu -&gt;")</f>
        <v> Pogledajte proizvod na sajtu -&gt;</v>
      </c>
    </row>
    <row r="5" spans="1:6" ht="12.75">
      <c r="A5" s="2">
        <v>4</v>
      </c>
      <c r="B5" t="s">
        <v>4092</v>
      </c>
      <c r="C5" t="s">
        <v>4093</v>
      </c>
      <c r="D5" s="2">
        <v>319</v>
      </c>
      <c r="E5" s="2">
        <v>4</v>
      </c>
      <c r="F5" s="3" t="str">
        <f>HYPERLINK("http://www.sah.co.rs/wzpx-505-o3x30mm-j-2m.html?___store=serbian"," Pogledajte proizvod na sajtu -&gt;")</f>
        <v> Pogledajte proizvod na sajtu -&gt;</v>
      </c>
    </row>
    <row r="6" spans="1:6" ht="12.75">
      <c r="A6" s="2">
        <v>5</v>
      </c>
      <c r="B6" t="s">
        <v>4094</v>
      </c>
      <c r="C6" t="s">
        <v>4095</v>
      </c>
      <c r="D6" s="2">
        <v>127</v>
      </c>
      <c r="E6" s="2">
        <v>4</v>
      </c>
      <c r="F6" s="3" t="str">
        <f>HYPERLINK("http://www.sah.co.rs/wzpx-505-o4x30mm-j-2m.html?___store=serbian"," Pogledajte proizvod na sajtu -&gt;")</f>
        <v> Pogledajte proizvod na sajtu -&gt;</v>
      </c>
    </row>
    <row r="7" spans="1:6" ht="12.75">
      <c r="A7" s="2">
        <v>6</v>
      </c>
      <c r="B7" t="s">
        <v>4096</v>
      </c>
      <c r="C7" t="s">
        <v>4097</v>
      </c>
      <c r="D7" s="2">
        <v>433</v>
      </c>
      <c r="E7" s="2">
        <v>4.5</v>
      </c>
      <c r="F7" s="3" t="str">
        <f>HYPERLINK("http://www.sah.co.rs/wrjx-31-o5x10mm-m6-j-2m.html?___store=serbian"," Pogledajte proizvod na sajtu -&gt;")</f>
        <v> Pogledajte proizvod na sajtu -&gt;</v>
      </c>
    </row>
    <row r="8" spans="1:6" ht="12.75">
      <c r="A8" s="2">
        <v>7</v>
      </c>
      <c r="B8" t="s">
        <v>4098</v>
      </c>
      <c r="C8" t="s">
        <v>4099</v>
      </c>
      <c r="D8" s="2">
        <v>501</v>
      </c>
      <c r="E8" s="2">
        <v>4.5</v>
      </c>
      <c r="F8" s="3" t="str">
        <f>HYPERLINK("http://www.sah.co.rs/wrjx-31-o5x10mm-m8-j-2m.html?___store=serbian"," Pogledajte proizvod na sajtu -&gt;")</f>
        <v> Pogledajte proizvod na sajtu -&gt;</v>
      </c>
    </row>
    <row r="9" spans="1:6" ht="12.75">
      <c r="A9" s="2">
        <v>8</v>
      </c>
      <c r="B9" t="s">
        <v>4100</v>
      </c>
      <c r="C9" t="s">
        <v>4101</v>
      </c>
      <c r="D9" s="2">
        <v>309</v>
      </c>
      <c r="E9" s="2">
        <v>5</v>
      </c>
      <c r="F9" s="3" t="str">
        <f>HYPERLINK("http://www.sah.co.rs/wrjx-31-o5x10mm-m8-j-3m.html?___store=serbian"," Pogledajte proizvod na sajtu -&gt;")</f>
        <v> Pogledajte proizvod na sajtu -&gt;</v>
      </c>
    </row>
    <row r="10" spans="1:6" ht="12.75">
      <c r="A10" s="2">
        <v>9</v>
      </c>
      <c r="B10" t="s">
        <v>4102</v>
      </c>
      <c r="C10" t="s">
        <v>4103</v>
      </c>
      <c r="D10" s="2">
        <v>17</v>
      </c>
      <c r="E10" s="2">
        <v>15.5</v>
      </c>
      <c r="F10" s="3" t="str">
        <f>HYPERLINK("http://www.sah.co.rs/dsjcf-o5x15mm-j-1-5m.html?___store=serbian"," Pogledajte proizvod na sajtu -&gt;")</f>
        <v> Pogledajte proizvod na sajtu -&gt;</v>
      </c>
    </row>
    <row r="11" spans="1:6" ht="12.75">
      <c r="A11" s="2">
        <v>10</v>
      </c>
      <c r="B11" t="s">
        <v>4104</v>
      </c>
      <c r="C11" t="s">
        <v>4105</v>
      </c>
      <c r="D11" s="2">
        <v>0</v>
      </c>
      <c r="E11" s="2">
        <v>15.5</v>
      </c>
      <c r="F11" s="3" t="str">
        <f>HYPERLINK("http://www.sah.co.rs/dsjcf-o5x20mm-j-1-5m.html?___store=serbian"," Pogledajte proizvod na sajtu -&gt;")</f>
        <v> Pogledajte proizvod na sajtu -&gt;</v>
      </c>
    </row>
    <row r="12" spans="1:6" ht="12.75">
      <c r="A12" s="2">
        <v>11</v>
      </c>
      <c r="B12" t="s">
        <v>4106</v>
      </c>
      <c r="C12" t="s">
        <v>4107</v>
      </c>
      <c r="D12" s="2">
        <v>17</v>
      </c>
      <c r="E12" s="2">
        <v>17</v>
      </c>
      <c r="F12" s="3" t="str">
        <f>HYPERLINK("http://www.sah.co.rs/dsjcf-o5x20mm-j-2m.html?___store=serbian"," Pogledajte proizvod na sajtu -&gt;")</f>
        <v> Pogledajte proizvod na sajtu -&gt;</v>
      </c>
    </row>
    <row r="13" spans="1:6" ht="12.75">
      <c r="A13" s="2">
        <v>12</v>
      </c>
      <c r="B13" t="s">
        <v>4108</v>
      </c>
      <c r="C13" t="s">
        <v>4109</v>
      </c>
      <c r="D13" s="2">
        <v>0</v>
      </c>
      <c r="E13" s="2">
        <v>17</v>
      </c>
      <c r="F13" s="3" t="str">
        <f>HYPERLINK("http://www.sah.co.rs/dsjcf-o5x30mm-j-1-5m.html?___store=serbian"," Pogledajte proizvod na sajtu -&gt;")</f>
        <v> Pogledajte proizvod na sajtu -&gt;</v>
      </c>
    </row>
    <row r="14" spans="1:6" ht="12.75">
      <c r="A14" s="2">
        <v>13</v>
      </c>
      <c r="B14" t="s">
        <v>4110</v>
      </c>
      <c r="C14" t="s">
        <v>4111</v>
      </c>
      <c r="D14" s="2">
        <v>166</v>
      </c>
      <c r="E14" s="2">
        <v>4</v>
      </c>
      <c r="F14" s="3" t="str">
        <f>HYPERLINK("http://www.sah.co.rs/wzpx-505-o5x30mm-j-2m.html?___store=serbian"," Pogledajte proizvod na sajtu -&gt;")</f>
        <v> Pogledajte proizvod na sajtu -&gt;</v>
      </c>
    </row>
    <row r="15" spans="1:6" ht="12.75">
      <c r="A15" s="2">
        <v>14</v>
      </c>
      <c r="B15" t="s">
        <v>4112</v>
      </c>
      <c r="C15" t="s">
        <v>4113</v>
      </c>
      <c r="D15" s="2">
        <v>122</v>
      </c>
      <c r="E15" s="2">
        <v>5</v>
      </c>
      <c r="F15" s="3" t="str">
        <f>HYPERLINK("http://www.sah.co.rs/wzpx-505-o5x30mm-j-3m.html?___store=serbian"," Pogledajte proizvod na sajtu -&gt;")</f>
        <v> Pogledajte proizvod na sajtu -&gt;</v>
      </c>
    </row>
    <row r="16" spans="1:6" ht="12.75">
      <c r="A16" s="2">
        <v>15</v>
      </c>
      <c r="B16" t="s">
        <v>4114</v>
      </c>
      <c r="C16" t="s">
        <v>4115</v>
      </c>
      <c r="D16" s="2">
        <v>116</v>
      </c>
      <c r="E16" s="2">
        <v>6</v>
      </c>
      <c r="F16" s="3" t="str">
        <f>HYPERLINK("http://www.sah.co.rs/wzpx-505-o5x30mm-j-5m.html?___store=serbian"," Pogledajte proizvod na sajtu -&gt;")</f>
        <v> Pogledajte proizvod na sajtu -&gt;</v>
      </c>
    </row>
    <row r="17" spans="1:6" ht="12.75">
      <c r="A17" s="2">
        <v>16</v>
      </c>
      <c r="B17" t="s">
        <v>4116</v>
      </c>
      <c r="C17" t="s">
        <v>4117</v>
      </c>
      <c r="D17" s="2">
        <v>0</v>
      </c>
      <c r="E17" s="2">
        <v>8</v>
      </c>
      <c r="F17" s="3" t="str">
        <f>HYPERLINK("http://www.sah.co.rs/wrjx-21-o5x40mm-m12-j-2m.html?___store=serbian"," Pogledajte proizvod na sajtu -&gt;")</f>
        <v> Pogledajte proizvod na sajtu -&gt;</v>
      </c>
    </row>
    <row r="18" spans="1:6" ht="12.75">
      <c r="A18" s="2">
        <v>17</v>
      </c>
      <c r="B18" t="s">
        <v>4118</v>
      </c>
      <c r="C18" t="s">
        <v>4119</v>
      </c>
      <c r="D18" s="2">
        <v>500</v>
      </c>
      <c r="E18" s="2">
        <v>9</v>
      </c>
      <c r="F18" s="3" t="str">
        <f>HYPERLINK("http://www.sah.co.rs/wrjx-21-o5x40mm-m12-j-3m.html?___store=serbian"," Pogledajte proizvod na sajtu -&gt;")</f>
        <v> Pogledajte proizvod na sajtu -&gt;</v>
      </c>
    </row>
    <row r="19" spans="1:6" ht="12.75">
      <c r="A19" s="2">
        <v>18</v>
      </c>
      <c r="B19" t="s">
        <v>4120</v>
      </c>
      <c r="C19" t="s">
        <v>4121</v>
      </c>
      <c r="D19" s="2">
        <v>214</v>
      </c>
      <c r="E19" s="2">
        <v>9</v>
      </c>
      <c r="F19" s="3" t="str">
        <f>HYPERLINK("http://www.sah.co.rs/wrjx-21-o5x40mm-m8-j-3m.html?___store=serbian"," Pogledajte proizvod na sajtu -&gt;")</f>
        <v> Pogledajte proizvod na sajtu -&gt;</v>
      </c>
    </row>
    <row r="20" spans="1:6" ht="12.75">
      <c r="A20" s="2">
        <v>19</v>
      </c>
      <c r="B20" t="s">
        <v>4122</v>
      </c>
      <c r="C20" t="s">
        <v>4123</v>
      </c>
      <c r="D20" s="2">
        <v>18</v>
      </c>
      <c r="E20" s="2">
        <v>17</v>
      </c>
      <c r="F20" s="3" t="str">
        <f>HYPERLINK("http://www.sah.co.rs/dsjcf-o5x50mm-j-2m.html?___store=serbian"," Pogledajte proizvod na sajtu -&gt;")</f>
        <v> Pogledajte proizvod na sajtu -&gt;</v>
      </c>
    </row>
    <row r="21" spans="1:6" ht="12.75">
      <c r="A21" s="2">
        <v>20</v>
      </c>
      <c r="B21" t="s">
        <v>4124</v>
      </c>
      <c r="C21" t="s">
        <v>4125</v>
      </c>
      <c r="D21" s="2">
        <v>0</v>
      </c>
      <c r="E21" s="2">
        <v>16.5</v>
      </c>
      <c r="F21" s="3" t="str">
        <f>HYPERLINK("http://www.sah.co.rs/dsjb-o8x20mm-g3-8-j-1-5m.html?___store=serbian"," Pogledajte proizvod na sajtu -&gt;")</f>
        <v> Pogledajte proizvod na sajtu -&gt;</v>
      </c>
    </row>
    <row r="22" spans="1:6" ht="12.75">
      <c r="A22" s="2">
        <v>21</v>
      </c>
      <c r="B22" t="s">
        <v>4126</v>
      </c>
      <c r="C22" t="s">
        <v>4127</v>
      </c>
      <c r="D22" s="2">
        <v>5</v>
      </c>
      <c r="E22" s="2">
        <v>19.5</v>
      </c>
      <c r="F22" s="3" t="str">
        <f>HYPERLINK("http://www.sah.co.rs/dsjb-o8x20mm-g3-8-j-2-5m.html?___store=serbian"," Pogledajte proizvod na sajtu -&gt;")</f>
        <v> Pogledajte proizvod na sajtu -&gt;</v>
      </c>
    </row>
    <row r="23" spans="1:6" ht="12.75">
      <c r="A23" s="2">
        <v>22</v>
      </c>
      <c r="B23" t="s">
        <v>4128</v>
      </c>
      <c r="C23" t="s">
        <v>4129</v>
      </c>
      <c r="D23" s="2">
        <v>30</v>
      </c>
      <c r="E23" s="2">
        <v>18</v>
      </c>
      <c r="F23" s="3" t="str">
        <f>HYPERLINK("http://www.sah.co.rs/dsjb-o8x20mm-g3-8-j-2m.html?___store=serbian"," Pogledajte proizvod na sajtu -&gt;")</f>
        <v> Pogledajte proizvod na sajtu -&gt;</v>
      </c>
    </row>
    <row r="24" spans="1:6" ht="12.75">
      <c r="A24" s="2">
        <v>23</v>
      </c>
      <c r="B24" t="s">
        <v>4130</v>
      </c>
      <c r="C24" t="s">
        <v>4131</v>
      </c>
      <c r="D24" s="2">
        <v>18</v>
      </c>
      <c r="E24" s="2">
        <v>21</v>
      </c>
      <c r="F24" s="3" t="str">
        <f>HYPERLINK("http://www.sah.co.rs/dsjb-o8x20mm-g3-8-j-3m.html?___store=serbian"," Pogledajte proizvod na sajtu -&gt;")</f>
        <v> Pogledajte proizvod na sajtu -&gt;</v>
      </c>
    </row>
    <row r="25" spans="1:6" ht="12.75">
      <c r="A25" s="2">
        <v>24</v>
      </c>
      <c r="B25" t="s">
        <v>4132</v>
      </c>
      <c r="C25" t="s">
        <v>4133</v>
      </c>
      <c r="D25" s="2">
        <v>3</v>
      </c>
      <c r="E25" s="2">
        <v>20</v>
      </c>
      <c r="F25" s="3" t="str">
        <f>HYPERLINK("http://www.sah.co.rs/dskk-o10x300mm-k.html?___store=serbian"," Pogledajte proizvod na sajtu -&gt;")</f>
        <v> Pogledajte proizvod na sajtu -&gt;</v>
      </c>
    </row>
    <row r="26" spans="1:6" ht="12.75">
      <c r="A26" s="2">
        <v>25</v>
      </c>
      <c r="B26" t="s">
        <v>4134</v>
      </c>
      <c r="C26" t="s">
        <v>4135</v>
      </c>
      <c r="D26" s="2">
        <v>0</v>
      </c>
      <c r="E26" s="2">
        <v>20</v>
      </c>
      <c r="F26" s="3" t="str">
        <f>HYPERLINK("http://www.sah.co.rs/dskk-o12x300mm-k.html?___store=serbian"," Pogledajte proizvod na sajtu -&gt;")</f>
        <v> Pogledajte proizvod na sajtu -&gt;</v>
      </c>
    </row>
    <row r="27" spans="1:6" ht="12.75">
      <c r="A27" s="2">
        <v>26</v>
      </c>
      <c r="B27" t="s">
        <v>4136</v>
      </c>
      <c r="C27" t="s">
        <v>4137</v>
      </c>
      <c r="D27" s="2">
        <v>1</v>
      </c>
      <c r="E27" s="2">
        <v>20</v>
      </c>
      <c r="F27" s="3" t="str">
        <f>HYPERLINK("http://www.sah.co.rs/dskk-o14x300mm-k.html?___store=serbian"," Pogledajte proizvod na sajtu -&gt;")</f>
        <v> Pogledajte proizvod na sajtu -&gt;</v>
      </c>
    </row>
    <row r="28" spans="1:6" ht="12.75">
      <c r="A28" s="2">
        <v>27</v>
      </c>
      <c r="B28" t="s">
        <v>4138</v>
      </c>
      <c r="C28" t="s">
        <v>4139</v>
      </c>
      <c r="D28" s="2">
        <v>3</v>
      </c>
      <c r="E28" s="2">
        <v>25</v>
      </c>
      <c r="F28" s="3" t="str">
        <f>HYPERLINK("http://www.sah.co.rs/dskkm-o16x200mm-k.html?___store=serbian"," Pogledajte proizvod na sajtu -&gt;")</f>
        <v> Pogledajte proizvod na sajtu -&gt;</v>
      </c>
    </row>
    <row r="29" spans="1:6" ht="12.75">
      <c r="A29" s="2">
        <v>28</v>
      </c>
      <c r="B29" t="s">
        <v>4140</v>
      </c>
      <c r="C29" t="s">
        <v>4141</v>
      </c>
      <c r="D29" s="2">
        <v>1</v>
      </c>
      <c r="E29" s="2">
        <v>25</v>
      </c>
      <c r="F29" s="3" t="str">
        <f>HYPERLINK("http://www.sah.co.rs/dskkm-o16x250mm-k.html?___store=serbian"," Pogledajte proizvod na sajtu -&gt;")</f>
        <v> Pogledajte proizvod na sajtu -&gt;</v>
      </c>
    </row>
    <row r="30" spans="1:6" ht="12.75">
      <c r="A30" s="2">
        <v>29</v>
      </c>
      <c r="B30" t="s">
        <v>4142</v>
      </c>
      <c r="C30" t="s">
        <v>4143</v>
      </c>
      <c r="D30" s="2">
        <v>6</v>
      </c>
      <c r="E30" s="2">
        <v>20</v>
      </c>
      <c r="F30" s="3" t="str">
        <f>HYPERLINK("http://www.sah.co.rs/dskk-o16x300mm-k.html?___store=serbian"," Pogledajte proizvod na sajtu -&gt;")</f>
        <v> Pogledajte proizvod na sajtu -&gt;</v>
      </c>
    </row>
    <row r="31" spans="1:6" ht="12.75">
      <c r="A31" s="2">
        <v>30</v>
      </c>
      <c r="B31" t="s">
        <v>4144</v>
      </c>
      <c r="C31" t="s">
        <v>4145</v>
      </c>
      <c r="D31" s="2">
        <v>55</v>
      </c>
      <c r="E31" s="2">
        <v>20</v>
      </c>
      <c r="F31" s="3" t="str">
        <f>HYPERLINK("http://www.sah.co.rs/wrn-o16x300mm-k.html?___store=serbian"," Pogledajte proizvod na sajtu -&gt;")</f>
        <v> Pogledajte proizvod na sajtu -&gt;</v>
      </c>
    </row>
    <row r="32" spans="1:6" ht="12.75">
      <c r="A32" s="2">
        <v>31</v>
      </c>
      <c r="B32" t="s">
        <v>4146</v>
      </c>
      <c r="C32" t="s">
        <v>4147</v>
      </c>
      <c r="D32" s="2">
        <v>39</v>
      </c>
      <c r="E32" s="2">
        <v>25</v>
      </c>
      <c r="F32" s="3" t="str">
        <f>HYPERLINK("http://www.sah.co.rs/wrn-320-o16x350mm-k.html?___store=serbian"," Pogledajte proizvod na sajtu -&gt;")</f>
        <v> Pogledajte proizvod na sajtu -&gt;</v>
      </c>
    </row>
    <row r="33" spans="1:6" ht="12.75">
      <c r="A33" s="2">
        <v>32</v>
      </c>
      <c r="B33" t="s">
        <v>4148</v>
      </c>
      <c r="C33" t="s">
        <v>4149</v>
      </c>
      <c r="D33" s="2">
        <v>47</v>
      </c>
      <c r="E33" s="2">
        <v>30</v>
      </c>
      <c r="F33" s="3" t="str">
        <f>HYPERLINK("http://www.sah.co.rs/wrn-320-o16x750mm-k.html?___store=serbian"," Pogledajte proizvod na sajtu -&gt;")</f>
        <v> Pogledajte proizvod na sajtu -&gt;</v>
      </c>
    </row>
    <row r="34" spans="1:6" ht="12.75">
      <c r="A34" s="2">
        <v>33</v>
      </c>
      <c r="B34" t="s">
        <v>4150</v>
      </c>
      <c r="C34" t="s">
        <v>4151</v>
      </c>
      <c r="D34" s="2">
        <v>46</v>
      </c>
      <c r="E34" s="2">
        <v>8</v>
      </c>
      <c r="F34" s="3" t="str">
        <f>HYPERLINK("http://www.sah.co.rs/wrnk-o1x100mm-k-1-5m.html?___store=serbian"," Pogledajte proizvod na sajtu -&gt;")</f>
        <v> Pogledajte proizvod na sajtu -&gt;</v>
      </c>
    </row>
    <row r="35" spans="1:6" ht="12.75">
      <c r="A35" s="2">
        <v>34</v>
      </c>
      <c r="B35" t="s">
        <v>4152</v>
      </c>
      <c r="C35" t="s">
        <v>4153</v>
      </c>
      <c r="D35" s="2">
        <v>49</v>
      </c>
      <c r="E35" s="2">
        <v>9</v>
      </c>
      <c r="F35" s="3" t="str">
        <f>HYPERLINK("http://www.sah.co.rs/wrnk-o1x200mm-k-1-5m.html?___store=serbian"," Pogledajte proizvod na sajtu -&gt;")</f>
        <v> Pogledajte proizvod na sajtu -&gt;</v>
      </c>
    </row>
    <row r="36" spans="1:6" ht="12.75">
      <c r="A36" s="2">
        <v>35</v>
      </c>
      <c r="B36" t="s">
        <v>4154</v>
      </c>
      <c r="C36" t="s">
        <v>4155</v>
      </c>
      <c r="D36" s="2">
        <v>47</v>
      </c>
      <c r="E36" s="2">
        <v>10</v>
      </c>
      <c r="F36" s="3" t="str">
        <f>HYPERLINK("http://www.sah.co.rs/wrnk-o1x300mm-k-1-5m.html?___store=serbian"," Pogledajte proizvod na sajtu -&gt;")</f>
        <v> Pogledajte proizvod na sajtu -&gt;</v>
      </c>
    </row>
    <row r="37" spans="1:6" ht="12.75">
      <c r="A37" s="2">
        <v>36</v>
      </c>
      <c r="B37" t="s">
        <v>4156</v>
      </c>
      <c r="C37" t="s">
        <v>4157</v>
      </c>
      <c r="D37" s="2">
        <v>41</v>
      </c>
      <c r="E37" s="2">
        <v>27</v>
      </c>
      <c r="F37" s="3" t="str">
        <f>HYPERLINK("http://www.sah.co.rs/wrn-321-o20x350mm-k.html?___store=serbian"," Pogledajte proizvod na sajtu -&gt;")</f>
        <v> Pogledajte proizvod na sajtu -&gt;</v>
      </c>
    </row>
    <row r="38" spans="1:6" ht="12.75">
      <c r="A38" s="2">
        <v>37</v>
      </c>
      <c r="B38" t="s">
        <v>4158</v>
      </c>
      <c r="C38" t="s">
        <v>4159</v>
      </c>
      <c r="D38" s="2">
        <v>20</v>
      </c>
      <c r="E38" s="2">
        <v>30</v>
      </c>
      <c r="F38" s="3" t="str">
        <f>HYPERLINK("http://www.sah.co.rs/wrn-o20x700mm-k.html?___store=serbian"," Pogledajte proizvod na sajtu -&gt;")</f>
        <v> Pogledajte proizvod na sajtu -&gt;</v>
      </c>
    </row>
    <row r="39" spans="1:6" ht="12.75">
      <c r="A39" s="2">
        <v>38</v>
      </c>
      <c r="B39" t="s">
        <v>4160</v>
      </c>
      <c r="C39" t="s">
        <v>4161</v>
      </c>
      <c r="D39" s="2">
        <v>36</v>
      </c>
      <c r="E39" s="2">
        <v>32</v>
      </c>
      <c r="F39" s="3" t="str">
        <f>HYPERLINK("http://www.sah.co.rs/wrn-321-o20x750mm-k.html?___store=serbian"," Pogledajte proizvod na sajtu -&gt;")</f>
        <v> Pogledajte proizvod na sajtu -&gt;</v>
      </c>
    </row>
    <row r="40" spans="1:6" ht="12.75">
      <c r="A40" s="2">
        <v>39</v>
      </c>
      <c r="B40" t="s">
        <v>4162</v>
      </c>
      <c r="C40" t="s">
        <v>4163</v>
      </c>
      <c r="D40" s="2">
        <v>44</v>
      </c>
      <c r="E40" s="2">
        <v>10</v>
      </c>
      <c r="F40" s="3" t="str">
        <f>HYPERLINK("http://www.sah.co.rs/wrnk-o2x100mm-k-1-5m.html?___store=serbian"," Pogledajte proizvod na sajtu -&gt;")</f>
        <v> Pogledajte proizvod na sajtu -&gt;</v>
      </c>
    </row>
    <row r="41" spans="1:6" ht="12.75">
      <c r="A41" s="2">
        <v>40</v>
      </c>
      <c r="B41" t="s">
        <v>4164</v>
      </c>
      <c r="C41" t="s">
        <v>4165</v>
      </c>
      <c r="D41" s="2">
        <v>38</v>
      </c>
      <c r="E41" s="2">
        <v>11</v>
      </c>
      <c r="F41" s="3" t="str">
        <f>HYPERLINK("http://www.sah.co.rs/wrnk-o2x200mm-k-1-5m.html?___store=serbian"," Pogledajte proizvod na sajtu -&gt;")</f>
        <v> Pogledajte proizvod na sajtu -&gt;</v>
      </c>
    </row>
    <row r="42" spans="1:6" ht="12.75">
      <c r="A42" s="2">
        <v>41</v>
      </c>
      <c r="B42" t="s">
        <v>4166</v>
      </c>
      <c r="C42" t="s">
        <v>4167</v>
      </c>
      <c r="D42" s="2">
        <v>40</v>
      </c>
      <c r="E42" s="2">
        <v>10</v>
      </c>
      <c r="F42" s="3" t="str">
        <f>HYPERLINK("http://www.sah.co.rs/wrnk-o3x100mm-k-1-5m.html?___store=serbian"," Pogledajte proizvod na sajtu -&gt;")</f>
        <v> Pogledajte proizvod na sajtu -&gt;</v>
      </c>
    </row>
    <row r="43" spans="1:6" ht="12.75">
      <c r="A43" s="2">
        <v>42</v>
      </c>
      <c r="B43" t="s">
        <v>4168</v>
      </c>
      <c r="C43" t="s">
        <v>4169</v>
      </c>
      <c r="D43" s="2">
        <v>38</v>
      </c>
      <c r="E43" s="2">
        <v>11</v>
      </c>
      <c r="F43" s="3" t="str">
        <f>HYPERLINK("http://www.sah.co.rs/wrnk-o3x200mm-k-1-5m.html?___store=serbian"," Pogledajte proizvod na sajtu -&gt;")</f>
        <v> Pogledajte proizvod na sajtu -&gt;</v>
      </c>
    </row>
    <row r="44" spans="1:6" ht="12.75">
      <c r="A44" s="2">
        <v>43</v>
      </c>
      <c r="B44" t="s">
        <v>4170</v>
      </c>
      <c r="C44" t="s">
        <v>4171</v>
      </c>
      <c r="D44" s="2">
        <v>87</v>
      </c>
      <c r="E44" s="2">
        <v>9</v>
      </c>
      <c r="F44" s="3" t="str">
        <f>HYPERLINK("http://www.sah.co.rs/wrnk-o3x50mm-k-1-5m.html?___store=serbian"," Pogledajte proizvod na sajtu -&gt;")</f>
        <v> Pogledajte proizvod na sajtu -&gt;</v>
      </c>
    </row>
    <row r="45" spans="1:6" ht="12.75">
      <c r="A45" s="2">
        <v>44</v>
      </c>
      <c r="B45" t="s">
        <v>4172</v>
      </c>
      <c r="C45" t="s">
        <v>4173</v>
      </c>
      <c r="D45" s="2">
        <v>40</v>
      </c>
      <c r="E45" s="2">
        <v>12</v>
      </c>
      <c r="F45" s="3" t="str">
        <f>HYPERLINK("http://www.sah.co.rs/wrnk-o4x100mm-k-1-5m.html?___store=serbian"," Pogledajte proizvod na sajtu -&gt;")</f>
        <v> Pogledajte proizvod na sajtu -&gt;</v>
      </c>
    </row>
    <row r="46" spans="1:6" ht="12.75">
      <c r="A46" s="2">
        <v>45</v>
      </c>
      <c r="B46" t="s">
        <v>4174</v>
      </c>
      <c r="C46" t="s">
        <v>4175</v>
      </c>
      <c r="D46" s="2">
        <v>31</v>
      </c>
      <c r="E46" s="2">
        <v>13</v>
      </c>
      <c r="F46" s="3" t="str">
        <f>HYPERLINK("http://www.sah.co.rs/wrnk-o4x200mm-k-1-5m.html?___store=serbian"," Pogledajte proizvod na sajtu -&gt;")</f>
        <v> Pogledajte proizvod na sajtu -&gt;</v>
      </c>
    </row>
    <row r="47" spans="1:6" ht="12.75">
      <c r="A47" s="2">
        <v>46</v>
      </c>
      <c r="B47" t="s">
        <v>4176</v>
      </c>
      <c r="C47" t="s">
        <v>4177</v>
      </c>
      <c r="D47" s="2">
        <v>248</v>
      </c>
      <c r="E47" s="2">
        <v>4.5</v>
      </c>
      <c r="F47" s="3" t="str">
        <f>HYPERLINK("http://www.sah.co.rs/wrkx-31-o5x10mm-m8-k-2m.html?___store=serbian"," Pogledajte proizvod na sajtu -&gt;")</f>
        <v> Pogledajte proizvod na sajtu -&gt;</v>
      </c>
    </row>
    <row r="48" spans="1:6" ht="12.75">
      <c r="A48" s="2">
        <v>47</v>
      </c>
      <c r="B48" t="s">
        <v>4178</v>
      </c>
      <c r="C48" t="s">
        <v>4179</v>
      </c>
      <c r="D48" s="2">
        <v>242</v>
      </c>
      <c r="E48" s="2">
        <v>5</v>
      </c>
      <c r="F48" s="3" t="str">
        <f>HYPERLINK("http://www.sah.co.rs/wrkx-31-o5x10mm-m8-k-3m.html?___store=serbian"," Pogledajte proizvod na sajtu -&gt;")</f>
        <v> Pogledajte proizvod na sajtu -&gt;</v>
      </c>
    </row>
    <row r="49" spans="1:6" ht="12.75">
      <c r="A49" s="2">
        <v>48</v>
      </c>
      <c r="B49" t="s">
        <v>4180</v>
      </c>
      <c r="C49" t="s">
        <v>4181</v>
      </c>
      <c r="D49" s="2">
        <v>19</v>
      </c>
      <c r="E49" s="2">
        <v>5</v>
      </c>
      <c r="F49" s="3" t="str">
        <f>HYPERLINK("http://www.sah.co.rs/wzpx-505-o5x30mm-k-3m.html?___store=serbian"," Pogledajte proizvod na sajtu -&gt;")</f>
        <v> Pogledajte proizvod na sajtu -&gt;</v>
      </c>
    </row>
    <row r="50" spans="1:6" ht="12.75">
      <c r="A50" s="2">
        <v>49</v>
      </c>
      <c r="B50" t="s">
        <v>4182</v>
      </c>
      <c r="C50" t="s">
        <v>4183</v>
      </c>
      <c r="D50" s="2">
        <v>133</v>
      </c>
      <c r="E50" s="2">
        <v>6</v>
      </c>
      <c r="F50" s="3" t="str">
        <f>HYPERLINK("http://www.sah.co.rs/wzpx-505-o5x30mm-k-5m.html?___store=serbian"," Pogledajte proizvod na sajtu -&gt;")</f>
        <v> Pogledajte proizvod na sajtu -&gt;</v>
      </c>
    </row>
    <row r="51" spans="1:6" ht="12.75">
      <c r="A51" s="2">
        <v>50</v>
      </c>
      <c r="B51" t="s">
        <v>4184</v>
      </c>
      <c r="C51" t="s">
        <v>4185</v>
      </c>
      <c r="D51" s="2">
        <v>16</v>
      </c>
      <c r="E51" s="2">
        <v>9</v>
      </c>
      <c r="F51" s="3" t="str">
        <f>HYPERLINK("http://www.sah.co.rs/wrkx-21-o5x40mm-m12-k-3m.html?___store=serbian"," Pogledajte proizvod na sajtu -&gt;")</f>
        <v> Pogledajte proizvod na sajtu -&gt;</v>
      </c>
    </row>
    <row r="52" spans="1:6" ht="12.75">
      <c r="A52" s="2">
        <v>51</v>
      </c>
      <c r="B52" t="s">
        <v>4186</v>
      </c>
      <c r="C52" t="s">
        <v>4187</v>
      </c>
      <c r="D52" s="2">
        <v>64</v>
      </c>
      <c r="E52" s="2">
        <v>9</v>
      </c>
      <c r="F52" s="3" t="str">
        <f>HYPERLINK("http://www.sah.co.rs/wrkx-21-o5x40mm-m8-k-3m.html?___store=serbian"," Pogledajte proizvod na sajtu -&gt;")</f>
        <v> Pogledajte proizvod na sajtu -&gt;</v>
      </c>
    </row>
    <row r="53" spans="1:6" ht="12.75">
      <c r="A53" s="2">
        <v>52</v>
      </c>
      <c r="B53" t="s">
        <v>4188</v>
      </c>
      <c r="C53" t="s">
        <v>4189</v>
      </c>
      <c r="D53" s="2">
        <v>15</v>
      </c>
      <c r="E53" s="2">
        <v>18</v>
      </c>
      <c r="F53" s="3" t="str">
        <f>HYPERLINK("http://www.sah.co.rs/dskcf-o5x50mm-k-2m.html?___store=serbian"," Pogledajte proizvod na sajtu -&gt;")</f>
        <v> Pogledajte proizvod na sajtu -&gt;</v>
      </c>
    </row>
    <row r="54" spans="1:6" ht="12.75">
      <c r="A54" s="2">
        <v>53</v>
      </c>
      <c r="B54" t="s">
        <v>4190</v>
      </c>
      <c r="C54" t="s">
        <v>4191</v>
      </c>
      <c r="D54" s="2">
        <v>26</v>
      </c>
      <c r="E54" s="2">
        <v>18</v>
      </c>
      <c r="F54" s="3" t="str">
        <f>HYPERLINK("http://www.sah.co.rs/dskcf-o6x100mm-k-2m.html?___store=serbian"," Pogledajte proizvod na sajtu -&gt;")</f>
        <v> Pogledajte proizvod na sajtu -&gt;</v>
      </c>
    </row>
    <row r="55" spans="1:6" ht="12.75">
      <c r="A55" s="2">
        <v>54</v>
      </c>
      <c r="B55" t="s">
        <v>4192</v>
      </c>
      <c r="C55" t="s">
        <v>4193</v>
      </c>
      <c r="D55" s="2">
        <v>5</v>
      </c>
      <c r="E55" s="2">
        <v>18</v>
      </c>
      <c r="F55" s="3" t="str">
        <f>HYPERLINK("http://www.sah.co.rs/dskcf-o6x200mm-k-2m.html?___store=serbian"," Pogledajte proizvod na sajtu -&gt;")</f>
        <v> Pogledajte proizvod na sajtu -&gt;</v>
      </c>
    </row>
    <row r="56" spans="1:6" ht="12.75">
      <c r="A56" s="2">
        <v>55</v>
      </c>
      <c r="B56" t="s">
        <v>4194</v>
      </c>
      <c r="C56" t="s">
        <v>4195</v>
      </c>
      <c r="D56" s="2">
        <v>4</v>
      </c>
      <c r="E56" s="2">
        <v>18</v>
      </c>
      <c r="F56" s="3" t="str">
        <f>HYPERLINK("http://www.sah.co.rs/dskcf-o6x50mm-k-2m.html?___store=serbian"," Pogledajte proizvod na sajtu -&gt;")</f>
        <v> Pogledajte proizvod na sajtu -&gt;</v>
      </c>
    </row>
    <row r="57" spans="1:6" ht="12.75">
      <c r="A57" s="2">
        <v>56</v>
      </c>
      <c r="B57" t="s">
        <v>4196</v>
      </c>
      <c r="C57" t="s">
        <v>4197</v>
      </c>
      <c r="D57" s="2">
        <v>18</v>
      </c>
      <c r="E57" s="2">
        <v>21</v>
      </c>
      <c r="F57" s="3" t="str">
        <f>HYPERLINK("http://www.sah.co.rs/dskc-o8x200mm-k-2m.html?___store=serbian"," Pogledajte proizvod na sajtu -&gt;")</f>
        <v> Pogledajte proizvod na sajtu -&gt;</v>
      </c>
    </row>
    <row r="58" spans="1:6" ht="12.75">
      <c r="A58" s="2">
        <v>57</v>
      </c>
      <c r="B58" t="s">
        <v>4198</v>
      </c>
      <c r="C58" t="s">
        <v>4199</v>
      </c>
      <c r="D58" s="2">
        <v>3</v>
      </c>
      <c r="E58" s="2">
        <v>20</v>
      </c>
      <c r="F58" s="3" t="str">
        <f>HYPERLINK("http://www.sah.co.rs/dskk-o8x300mm-k.html?___store=serbian"," Pogledajte proizvod na sajtu -&gt;")</f>
        <v> Pogledajte proizvod na sajtu -&gt;</v>
      </c>
    </row>
    <row r="59" spans="1:6" ht="12.75">
      <c r="A59" s="2">
        <v>58</v>
      </c>
      <c r="B59" t="s">
        <v>4200</v>
      </c>
      <c r="C59" t="s">
        <v>4201</v>
      </c>
      <c r="D59" s="2">
        <v>0</v>
      </c>
      <c r="E59" s="2">
        <v>65</v>
      </c>
      <c r="F59" s="3" t="str">
        <f>HYPERLINK("http://www.sah.co.rs/dskc-o8x80mm-k-10m.html?___store=serbian"," Pogledajte proizvod na sajtu -&gt;")</f>
        <v> Pogledajte proizvod na sajtu -&gt;</v>
      </c>
    </row>
    <row r="60" spans="1:6" ht="12.75">
      <c r="A60" s="2">
        <v>59</v>
      </c>
      <c r="B60" t="s">
        <v>4202</v>
      </c>
      <c r="C60" t="s">
        <v>4203</v>
      </c>
      <c r="D60" s="2">
        <v>2</v>
      </c>
      <c r="E60" s="2">
        <v>21</v>
      </c>
      <c r="F60" s="3" t="str">
        <f>HYPERLINK("http://www.sah.co.rs/dskc-o8x80mm-k-2m.html?___store=serbian"," Pogledajte proizvod na sajtu -&gt;")</f>
        <v> Pogledajte proizvod na sajtu -&gt;</v>
      </c>
    </row>
    <row r="61" spans="1:6" ht="12.75">
      <c r="A61" s="2">
        <v>60</v>
      </c>
      <c r="B61" t="s">
        <v>4204</v>
      </c>
      <c r="C61" t="s">
        <v>4205</v>
      </c>
      <c r="D61" s="2">
        <v>9</v>
      </c>
      <c r="E61" s="2">
        <v>32</v>
      </c>
      <c r="F61" s="3" t="str">
        <f>HYPERLINK("http://www.sah.co.rs/dskc-o8x80mm-k-5m.html?___store=serbian"," Pogledajte proizvod na sajtu -&gt;")</f>
        <v> Pogledajte proizvod na sajtu -&gt;</v>
      </c>
    </row>
    <row r="62" spans="1:6" ht="12.75">
      <c r="A62" s="2">
        <v>61</v>
      </c>
      <c r="B62" t="s">
        <v>4206</v>
      </c>
      <c r="C62" t="s">
        <v>4207</v>
      </c>
      <c r="D62" s="2">
        <v>16</v>
      </c>
      <c r="E62" s="2">
        <v>40</v>
      </c>
      <c r="F62" s="3" t="str">
        <f>HYPERLINK("http://www.sah.co.rs/wrn-122-o16x1000-150mm-k.html?___store=serbian"," Pogledajte proizvod na sajtu -&gt;")</f>
        <v> Pogledajte proizvod na sajtu -&gt;</v>
      </c>
    </row>
    <row r="63" spans="1:6" ht="12.75">
      <c r="A63" s="2">
        <v>62</v>
      </c>
      <c r="B63" t="s">
        <v>4208</v>
      </c>
      <c r="C63" t="s">
        <v>4209</v>
      </c>
      <c r="D63" s="2">
        <v>45</v>
      </c>
      <c r="E63" s="2">
        <v>20</v>
      </c>
      <c r="F63" s="3" t="str">
        <f>HYPERLINK("http://www.sah.co.rs/wrn-122-o16x150-50mm-k.html?___store=serbian"," Pogledajte proizvod na sajtu -&gt;")</f>
        <v> Pogledajte proizvod na sajtu -&gt;</v>
      </c>
    </row>
    <row r="64" spans="1:6" ht="12.75">
      <c r="A64" s="2">
        <v>63</v>
      </c>
      <c r="B64" t="s">
        <v>4210</v>
      </c>
      <c r="C64" t="s">
        <v>4211</v>
      </c>
      <c r="D64" s="2">
        <v>35</v>
      </c>
      <c r="E64" s="2">
        <v>25</v>
      </c>
      <c r="F64" s="3" t="str">
        <f>HYPERLINK("http://www.sah.co.rs/wrn-122-o16x300-50mm-k.html?___store=serbian"," Pogledajte proizvod na sajtu -&gt;")</f>
        <v> Pogledajte proizvod na sajtu -&gt;</v>
      </c>
    </row>
    <row r="65" spans="1:6" ht="12.75">
      <c r="A65" s="2">
        <v>64</v>
      </c>
      <c r="B65" t="s">
        <v>4212</v>
      </c>
      <c r="C65" t="s">
        <v>4213</v>
      </c>
      <c r="D65" s="2">
        <v>50</v>
      </c>
      <c r="E65" s="2">
        <v>30</v>
      </c>
      <c r="F65" s="3" t="str">
        <f>HYPERLINK("http://www.sah.co.rs/wrn-122-o16x600-50mm-k.html?___store=serbian"," Pogledajte proizvod na sajtu -&gt;")</f>
        <v> Pogledajte proizvod na sajtu -&gt;</v>
      </c>
    </row>
    <row r="66" spans="1:6" ht="12.75">
      <c r="A66" s="2">
        <v>65</v>
      </c>
      <c r="B66" t="s">
        <v>4214</v>
      </c>
      <c r="C66" t="s">
        <v>4215</v>
      </c>
      <c r="D66" s="2">
        <v>17</v>
      </c>
      <c r="E66" s="2">
        <v>35</v>
      </c>
      <c r="F66" s="3" t="str">
        <f>HYPERLINK("http://www.sah.co.rs/wrn-122-o16x750-150mm-k.html?___store=serbian"," Pogledajte proizvod na sajtu -&gt;")</f>
        <v> Pogledajte proizvod na sajtu -&gt;</v>
      </c>
    </row>
    <row r="67" spans="1:6" ht="12.75">
      <c r="A67" s="2">
        <v>66</v>
      </c>
      <c r="B67" t="s">
        <v>4216</v>
      </c>
      <c r="C67" t="s">
        <v>4217</v>
      </c>
      <c r="D67" s="2">
        <v>46</v>
      </c>
      <c r="E67" s="2">
        <v>10</v>
      </c>
      <c r="F67" s="3" t="str">
        <f>HYPERLINK("http://www.sah.co.rs/wrpx-12-o7x300mm-k-1-5m.html?___store=serbian"," Pogledajte proizvod na sajtu -&gt;")</f>
        <v> Pogledajte proizvod na sajtu -&gt;</v>
      </c>
    </row>
    <row r="68" spans="1:6" ht="12.75">
      <c r="A68" s="2">
        <v>67</v>
      </c>
      <c r="B68" t="s">
        <v>4218</v>
      </c>
      <c r="C68" t="s">
        <v>4219</v>
      </c>
      <c r="D68" s="2">
        <v>50</v>
      </c>
      <c r="E68" s="2">
        <v>15</v>
      </c>
      <c r="F68" s="3" t="str">
        <f>HYPERLINK("http://www.sah.co.rs/wzp-201a-o4x30mm-pt100-2m.html?___store=serbian"," Pogledajte proizvod na sajtu -&gt;")</f>
        <v> Pogledajte proizvod na sajtu -&gt;</v>
      </c>
    </row>
    <row r="69" spans="1:6" ht="12.75">
      <c r="A69" s="2">
        <v>68</v>
      </c>
      <c r="B69" t="s">
        <v>4220</v>
      </c>
      <c r="C69" t="s">
        <v>4221</v>
      </c>
      <c r="D69" s="2">
        <v>100</v>
      </c>
      <c r="E69" s="2">
        <v>11</v>
      </c>
      <c r="F69" s="3" t="str">
        <f>HYPERLINK("http://www.sah.co.rs/wzp-201b-o4x30mm-pt100-2m.html?___store=serbian"," Pogledajte proizvod na sajtu -&gt;")</f>
        <v> Pogledajte proizvod na sajtu -&gt;</v>
      </c>
    </row>
    <row r="70" spans="1:6" ht="12.75">
      <c r="A70" s="2">
        <v>69</v>
      </c>
      <c r="B70" t="s">
        <v>4222</v>
      </c>
      <c r="C70" t="s">
        <v>4223</v>
      </c>
      <c r="D70" s="2">
        <v>100</v>
      </c>
      <c r="E70" s="2">
        <v>11</v>
      </c>
      <c r="F70" s="3" t="str">
        <f>HYPERLINK("http://www.sah.co.rs/wzp-201b-o6x60mm-pt100-2m.html?___store=serbian"," Pogledajte proizvod na sajtu -&gt;")</f>
        <v> Pogledajte proizvod na sajtu -&gt;</v>
      </c>
    </row>
    <row r="71" spans="1:6" ht="12.75">
      <c r="A71" s="2">
        <v>70</v>
      </c>
      <c r="B71" t="s">
        <v>4224</v>
      </c>
      <c r="C71" t="s">
        <v>4225</v>
      </c>
      <c r="D71" s="2">
        <v>28</v>
      </c>
      <c r="E71" s="2">
        <v>35</v>
      </c>
      <c r="F71" s="3" t="str">
        <f>HYPERLINK("http://www.sah.co.rs/wzp-230-o16x1150-1000mm-pt100.html?___store=serbian"," Pogledajte proizvod na sajtu -&gt;")</f>
        <v> Pogledajte proizvod na sajtu -&gt;</v>
      </c>
    </row>
    <row r="72" spans="1:6" ht="12.75">
      <c r="A72" s="2">
        <v>71</v>
      </c>
      <c r="B72" t="s">
        <v>4226</v>
      </c>
      <c r="C72" t="s">
        <v>4227</v>
      </c>
      <c r="D72" s="2">
        <v>40</v>
      </c>
      <c r="E72" s="2">
        <v>18</v>
      </c>
      <c r="F72" s="3" t="str">
        <f>HYPERLINK("http://www.sah.co.rs/wzp-230-o16x150-100mm-pt100.html?___store=serbian"," Pogledajte proizvod na sajtu -&gt;")</f>
        <v> Pogledajte proizvod na sajtu -&gt;</v>
      </c>
    </row>
    <row r="73" spans="1:6" ht="12.75">
      <c r="A73" s="2">
        <v>72</v>
      </c>
      <c r="B73" t="s">
        <v>4228</v>
      </c>
      <c r="C73" t="s">
        <v>4229</v>
      </c>
      <c r="D73" s="2">
        <v>50</v>
      </c>
      <c r="E73" s="2">
        <v>19</v>
      </c>
      <c r="F73" s="3" t="str">
        <f>HYPERLINK("http://www.sah.co.rs/wzp-230-o16x250-200mm-pt100.html?___store=serbian"," Pogledajte proizvod na sajtu -&gt;")</f>
        <v> Pogledajte proizvod na sajtu -&gt;</v>
      </c>
    </row>
    <row r="74" spans="1:6" ht="12.75">
      <c r="A74" s="2">
        <v>73</v>
      </c>
      <c r="B74" t="s">
        <v>4230</v>
      </c>
      <c r="C74" t="s">
        <v>4231</v>
      </c>
      <c r="D74" s="2">
        <v>24</v>
      </c>
      <c r="E74" s="2">
        <v>19</v>
      </c>
      <c r="F74" s="3" t="str">
        <f>HYPERLINK("http://www.sah.co.rs/wzp-230-o16x300-150mm-pt100.html?___store=serbian"," Pogledajte proizvod na sajtu -&gt;")</f>
        <v> Pogledajte proizvod na sajtu -&gt;</v>
      </c>
    </row>
    <row r="75" spans="1:6" ht="12.75">
      <c r="A75" s="2">
        <v>74</v>
      </c>
      <c r="B75" t="s">
        <v>4232</v>
      </c>
      <c r="C75" t="s">
        <v>4233</v>
      </c>
      <c r="D75" s="2">
        <v>29</v>
      </c>
      <c r="E75" s="2">
        <v>19</v>
      </c>
      <c r="F75" s="3" t="str">
        <f>HYPERLINK("http://www.sah.co.rs/wzp-230-o16x350-200mm-pt100.html?___store=serbian"," Pogledajte proizvod na sajtu -&gt;")</f>
        <v> Pogledajte proizvod na sajtu -&gt;</v>
      </c>
    </row>
    <row r="76" spans="1:6" ht="12.75">
      <c r="A76" s="2">
        <v>75</v>
      </c>
      <c r="B76" t="s">
        <v>4234</v>
      </c>
      <c r="C76" t="s">
        <v>4235</v>
      </c>
      <c r="D76" s="2">
        <v>50</v>
      </c>
      <c r="E76" s="2">
        <v>19</v>
      </c>
      <c r="F76" s="3" t="str">
        <f>HYPERLINK("http://www.sah.co.rs/wzp-230-o16x350-300mm-pt100.html?___store=serbian"," Pogledajte proizvod na sajtu -&gt;")</f>
        <v> Pogledajte proizvod na sajtu -&gt;</v>
      </c>
    </row>
    <row r="77" spans="1:6" ht="12.75">
      <c r="A77" s="2">
        <v>76</v>
      </c>
      <c r="B77" t="s">
        <v>4236</v>
      </c>
      <c r="C77" t="s">
        <v>4237</v>
      </c>
      <c r="D77" s="2">
        <v>34</v>
      </c>
      <c r="E77" s="2">
        <v>24</v>
      </c>
      <c r="F77" s="3" t="str">
        <f>HYPERLINK("http://www.sah.co.rs/wzp-230-o16x450-300mm-pt100.html?___store=serbian"," Pogledajte proizvod na sajtu -&gt;")</f>
        <v> Pogledajte proizvod na sajtu -&gt;</v>
      </c>
    </row>
    <row r="78" spans="1:6" ht="12.75">
      <c r="A78" s="2">
        <v>77</v>
      </c>
      <c r="B78" t="s">
        <v>4238</v>
      </c>
      <c r="C78" t="s">
        <v>4239</v>
      </c>
      <c r="D78" s="2">
        <v>29</v>
      </c>
      <c r="E78" s="2">
        <v>27</v>
      </c>
      <c r="F78" s="3" t="str">
        <f>HYPERLINK("http://www.sah.co.rs/wzp-230-o16x650-500mm-pt100.html?___store=serbian"," Pogledajte proizvod na sajtu -&gt;")</f>
        <v> Pogledajte proizvod na sajtu -&gt;</v>
      </c>
    </row>
    <row r="79" spans="1:6" ht="12.75">
      <c r="A79" s="2">
        <v>78</v>
      </c>
      <c r="B79" t="s">
        <v>4240</v>
      </c>
      <c r="C79" t="s">
        <v>4241</v>
      </c>
      <c r="D79" s="2">
        <v>6</v>
      </c>
      <c r="E79" s="2">
        <v>30</v>
      </c>
      <c r="F79" s="3" t="str">
        <f>HYPERLINK("http://www.sah.co.rs/wzp-230-o16x750-600mm-pt100.html?___store=serbian"," Pogledajte proizvod na sajtu -&gt;")</f>
        <v> Pogledajte proizvod na sajtu -&gt;</v>
      </c>
    </row>
    <row r="80" spans="1:6" ht="12.75">
      <c r="A80" s="2">
        <v>79</v>
      </c>
      <c r="B80" t="s">
        <v>4242</v>
      </c>
      <c r="C80" t="s">
        <v>4243</v>
      </c>
      <c r="D80" s="2">
        <v>54</v>
      </c>
      <c r="E80" s="2">
        <v>32</v>
      </c>
      <c r="F80" s="3" t="str">
        <f>HYPERLINK("http://www.sah.co.rs/wzp-230-o16x900-750mm-pt100.html?___store=serbian"," Pogledajte proizvod na sajtu -&gt;")</f>
        <v> Pogledajte proizvod na sajtu -&gt;</v>
      </c>
    </row>
    <row r="81" spans="1:6" ht="12.75">
      <c r="A81" s="2">
        <v>80</v>
      </c>
      <c r="B81" t="s">
        <v>4244</v>
      </c>
      <c r="C81" t="s">
        <v>4245</v>
      </c>
      <c r="D81" s="2">
        <v>7</v>
      </c>
      <c r="E81" s="2">
        <v>40</v>
      </c>
      <c r="F81" s="3" t="str">
        <f>HYPERLINK("http://www.sah.co.rs/dspu-o4x120mm-pt100-3m.html?___store=serbian"," Pogledajte proizvod na sajtu -&gt;")</f>
        <v> Pogledajte proizvod na sajtu -&gt;</v>
      </c>
    </row>
    <row r="82" spans="1:6" ht="12.75">
      <c r="A82" s="2">
        <v>81</v>
      </c>
      <c r="B82" t="s">
        <v>4246</v>
      </c>
      <c r="C82" t="s">
        <v>4247</v>
      </c>
      <c r="D82" s="2">
        <v>4</v>
      </c>
      <c r="E82" s="2">
        <v>50</v>
      </c>
      <c r="F82" s="3" t="str">
        <f>HYPERLINK("http://www.sah.co.rs/dspu-o4x120mm-pt100-5m.html?___store=serbian"," Pogledajte proizvod na sajtu -&gt;")</f>
        <v> Pogledajte proizvod na sajtu -&gt;</v>
      </c>
    </row>
    <row r="83" spans="1:6" ht="12.75">
      <c r="A83" s="2">
        <v>82</v>
      </c>
      <c r="B83" t="s">
        <v>4248</v>
      </c>
      <c r="C83" t="s">
        <v>4249</v>
      </c>
      <c r="D83" s="2">
        <v>181</v>
      </c>
      <c r="E83" s="2">
        <v>4</v>
      </c>
      <c r="F83" s="3" t="str">
        <f>HYPERLINK("http://www.sah.co.rs/wzp-o4x30mm-pt100-0-5m.html?___store=serbian"," Pogledajte proizvod na sajtu -&gt;")</f>
        <v> Pogledajte proizvod na sajtu -&gt;</v>
      </c>
    </row>
    <row r="84" spans="1:6" ht="12.75">
      <c r="A84" s="2">
        <v>83</v>
      </c>
      <c r="B84" t="s">
        <v>4250</v>
      </c>
      <c r="C84" t="s">
        <v>4251</v>
      </c>
      <c r="D84" s="2">
        <v>178</v>
      </c>
      <c r="E84" s="2">
        <v>6</v>
      </c>
      <c r="F84" s="3" t="str">
        <f>HYPERLINK("http://www.sah.co.rs/wzp-o4x30mm-pt100-2m.html?___store=serbian"," Pogledajte proizvod na sajtu -&gt;")</f>
        <v> Pogledajte proizvod na sajtu -&gt;</v>
      </c>
    </row>
    <row r="85" spans="1:6" ht="12.75">
      <c r="A85" s="2">
        <v>84</v>
      </c>
      <c r="B85" t="s">
        <v>4252</v>
      </c>
      <c r="C85" t="s">
        <v>4253</v>
      </c>
      <c r="D85" s="2">
        <v>76</v>
      </c>
      <c r="E85" s="2">
        <v>10</v>
      </c>
      <c r="F85" s="3" t="str">
        <f>HYPERLINK("http://www.sah.co.rs/wzp-035-o4x30mm-pt100-1m.html?___store=serbian"," Pogledajte proizvod na sajtu -&gt;")</f>
        <v> Pogledajte proizvod na sajtu -&gt;</v>
      </c>
    </row>
    <row r="86" spans="1:6" ht="12.75">
      <c r="A86" s="2">
        <v>85</v>
      </c>
      <c r="B86" t="s">
        <v>4254</v>
      </c>
      <c r="C86" t="s">
        <v>4255</v>
      </c>
      <c r="D86" s="2">
        <v>185</v>
      </c>
      <c r="E86" s="2">
        <v>10</v>
      </c>
      <c r="F86" s="3" t="str">
        <f>HYPERLINK("http://www.sah.co.rs/wzpx-505-o4x50mm-pt100-2m.html?___store=serbian"," Pogledajte proizvod na sajtu -&gt;")</f>
        <v> Pogledajte proizvod na sajtu -&gt;</v>
      </c>
    </row>
    <row r="87" spans="1:6" ht="12.75">
      <c r="A87" s="2">
        <v>86</v>
      </c>
      <c r="B87" t="s">
        <v>4256</v>
      </c>
      <c r="C87" t="s">
        <v>4257</v>
      </c>
      <c r="D87" s="2">
        <v>42</v>
      </c>
      <c r="E87" s="2">
        <v>15</v>
      </c>
      <c r="F87" s="3" t="str">
        <f>HYPERLINK("http://www.sah.co.rs/dspcs-o5x100mm-pt100-2m.html?___store=serbian"," Pogledajte proizvod na sajtu -&gt;")</f>
        <v> Pogledajte proizvod na sajtu -&gt;</v>
      </c>
    </row>
    <row r="88" spans="1:6" ht="12.75">
      <c r="A88" s="2">
        <v>87</v>
      </c>
      <c r="B88" t="s">
        <v>4258</v>
      </c>
      <c r="C88" t="s">
        <v>4259</v>
      </c>
      <c r="D88" s="2">
        <v>447</v>
      </c>
      <c r="E88" s="2">
        <v>10</v>
      </c>
      <c r="F88" s="3" t="str">
        <f>HYPERLINK("http://www.sah.co.rs/wrpx-31-o5x10mm-m6-pt100-2m.html?___store=serbian"," Pogledajte proizvod na sajtu -&gt;")</f>
        <v> Pogledajte proizvod na sajtu -&gt;</v>
      </c>
    </row>
    <row r="89" spans="1:6" ht="12.75">
      <c r="A89" s="2">
        <v>88</v>
      </c>
      <c r="B89" t="s">
        <v>4260</v>
      </c>
      <c r="C89" t="s">
        <v>4261</v>
      </c>
      <c r="D89" s="2">
        <v>28</v>
      </c>
      <c r="E89" s="2">
        <v>10</v>
      </c>
      <c r="F89" s="3" t="str">
        <f>HYPERLINK("http://www.sah.co.rs/wzp-o5x10mm-m6-pt100-2m.html?___store=serbian"," Pogledajte proizvod na sajtu -&gt;")</f>
        <v> Pogledajte proizvod na sajtu -&gt;</v>
      </c>
    </row>
    <row r="90" spans="1:6" ht="12.75">
      <c r="A90" s="2">
        <v>89</v>
      </c>
      <c r="B90" t="s">
        <v>4262</v>
      </c>
      <c r="C90" t="s">
        <v>4263</v>
      </c>
      <c r="D90" s="2">
        <v>281</v>
      </c>
      <c r="E90" s="2">
        <v>10</v>
      </c>
      <c r="F90" s="3" t="str">
        <f>HYPERLINK("http://www.sah.co.rs/wrpx-31-o5x10mm-m8-pt100-2m.html?___store=serbian"," Pogledajte proizvod na sajtu -&gt;")</f>
        <v> Pogledajte proizvod na sajtu -&gt;</v>
      </c>
    </row>
    <row r="91" spans="1:6" ht="12.75">
      <c r="A91" s="2">
        <v>90</v>
      </c>
      <c r="B91" t="s">
        <v>4264</v>
      </c>
      <c r="C91" t="s">
        <v>4265</v>
      </c>
      <c r="D91" s="2">
        <v>30</v>
      </c>
      <c r="E91" s="2">
        <v>10</v>
      </c>
      <c r="F91" s="3" t="str">
        <f>HYPERLINK("http://www.sah.co.rs/wzp-o5x10mm-m8-pt100-2m.html?___store=serbian"," Pogledajte proizvod na sajtu -&gt;")</f>
        <v> Pogledajte proizvod na sajtu -&gt;</v>
      </c>
    </row>
    <row r="92" spans="1:6" ht="12.75">
      <c r="A92" s="2">
        <v>91</v>
      </c>
      <c r="B92" t="s">
        <v>4266</v>
      </c>
      <c r="C92" t="s">
        <v>4267</v>
      </c>
      <c r="D92" s="2">
        <v>17</v>
      </c>
      <c r="E92" s="2">
        <v>15</v>
      </c>
      <c r="F92" s="3" t="str">
        <f>HYPERLINK("http://www.sah.co.rs/dspcs-o5x200mm-pt100-2m.html?___store=serbian"," Pogledajte proizvod na sajtu -&gt;")</f>
        <v> Pogledajte proizvod na sajtu -&gt;</v>
      </c>
    </row>
    <row r="93" spans="1:6" ht="12.75">
      <c r="A93" s="2">
        <v>92</v>
      </c>
      <c r="B93" t="s">
        <v>4268</v>
      </c>
      <c r="C93" t="s">
        <v>4269</v>
      </c>
      <c r="D93" s="2">
        <v>13</v>
      </c>
      <c r="E93" s="2">
        <v>17</v>
      </c>
      <c r="F93" s="3" t="str">
        <f>HYPERLINK("http://www.sah.co.rs/dspcf-o5x25mm-pt100-2m.html?___store=serbian"," Pogledajte proizvod na sajtu -&gt;")</f>
        <v> Pogledajte proizvod na sajtu -&gt;</v>
      </c>
    </row>
    <row r="94" spans="1:6" ht="12.75">
      <c r="A94" s="2">
        <v>93</v>
      </c>
      <c r="B94" t="s">
        <v>4270</v>
      </c>
      <c r="C94" t="s">
        <v>4271</v>
      </c>
      <c r="D94" s="2">
        <v>1</v>
      </c>
      <c r="E94" s="2">
        <v>17</v>
      </c>
      <c r="F94" s="3" t="str">
        <f>HYPERLINK("http://www.sah.co.rs/dspc-o5x40l20mm-pt100-2m.html?___store=serbian"," Pogledajte proizvod na sajtu -&gt;")</f>
        <v> Pogledajte proizvod na sajtu -&gt;</v>
      </c>
    </row>
    <row r="95" spans="1:6" ht="12.75">
      <c r="A95" s="2">
        <v>94</v>
      </c>
      <c r="B95" t="s">
        <v>4272</v>
      </c>
      <c r="C95" t="s">
        <v>4273</v>
      </c>
      <c r="D95" s="2">
        <v>165</v>
      </c>
      <c r="E95" s="2">
        <v>12.5</v>
      </c>
      <c r="F95" s="3" t="str">
        <f>HYPERLINK("http://www.sah.co.rs/wrpx-22-o5x40mm-m12-pt100-2m.html?___store=serbian"," Pogledajte proizvod na sajtu -&gt;")</f>
        <v> Pogledajte proizvod na sajtu -&gt;</v>
      </c>
    </row>
    <row r="96" spans="1:6" ht="12.75">
      <c r="A96" s="2">
        <v>95</v>
      </c>
      <c r="B96" t="s">
        <v>4274</v>
      </c>
      <c r="C96" t="s">
        <v>4275</v>
      </c>
      <c r="D96" s="2">
        <v>203</v>
      </c>
      <c r="E96" s="2">
        <v>12.5</v>
      </c>
      <c r="F96" s="3" t="str">
        <f>HYPERLINK("http://www.sah.co.rs/wrpx-22-o5x40mm-m8-pt100-2m.html?___store=serbian"," Pogledajte proizvod na sajtu -&gt;")</f>
        <v> Pogledajte proizvod na sajtu -&gt;</v>
      </c>
    </row>
    <row r="97" spans="1:6" ht="12.75">
      <c r="A97" s="2">
        <v>96</v>
      </c>
      <c r="B97" t="s">
        <v>4276</v>
      </c>
      <c r="C97" t="s">
        <v>4277</v>
      </c>
      <c r="D97" s="2">
        <v>0</v>
      </c>
      <c r="E97" s="2">
        <v>49</v>
      </c>
      <c r="F97" s="3" t="str">
        <f>HYPERLINK("http://www.sah.co.rs/dspcf-o5x50mm-pt100-10m.html?___store=serbian"," Pogledajte proizvod na sajtu -&gt;")</f>
        <v> Pogledajte proizvod na sajtu -&gt;</v>
      </c>
    </row>
    <row r="98" spans="1:6" ht="12.75">
      <c r="A98" s="2">
        <v>97</v>
      </c>
      <c r="B98" t="s">
        <v>4278</v>
      </c>
      <c r="C98" t="s">
        <v>4279</v>
      </c>
      <c r="D98" s="2">
        <v>9</v>
      </c>
      <c r="E98" s="2">
        <v>17</v>
      </c>
      <c r="F98" s="3" t="str">
        <f>HYPERLINK("http://www.sah.co.rs/dspcf-o5x50mm-pt100-2m.html?___store=serbian"," Pogledajte proizvod na sajtu -&gt;")</f>
        <v> Pogledajte proizvod na sajtu -&gt;</v>
      </c>
    </row>
    <row r="99" spans="1:6" ht="12.75">
      <c r="A99" s="2">
        <v>98</v>
      </c>
      <c r="B99" t="s">
        <v>4280</v>
      </c>
      <c r="C99" t="s">
        <v>4281</v>
      </c>
      <c r="D99" s="2">
        <v>0</v>
      </c>
      <c r="E99" s="2">
        <v>29</v>
      </c>
      <c r="F99" s="3" t="str">
        <f>HYPERLINK("http://www.sah.co.rs/dspcf-o5x50mm-pt100-5m.html?___store=serbian"," Pogledajte proizvod na sajtu -&gt;")</f>
        <v> Pogledajte proizvod na sajtu -&gt;</v>
      </c>
    </row>
    <row r="100" spans="1:6" ht="12.75">
      <c r="A100" s="2">
        <v>99</v>
      </c>
      <c r="B100" t="s">
        <v>4282</v>
      </c>
      <c r="C100" t="s">
        <v>4283</v>
      </c>
      <c r="D100" s="2">
        <v>12</v>
      </c>
      <c r="E100" s="2">
        <v>15</v>
      </c>
      <c r="F100" s="3" t="str">
        <f>HYPERLINK("http://www.sah.co.rs/dspcs-o5x50mm-pt100-2m.html?___store=serbian"," Pogledajte proizvod na sajtu -&gt;")</f>
        <v> Pogledajte proizvod na sajtu -&gt;</v>
      </c>
    </row>
    <row r="101" spans="1:6" ht="12.75">
      <c r="A101" s="2">
        <v>100</v>
      </c>
      <c r="B101" t="s">
        <v>4284</v>
      </c>
      <c r="C101" t="s">
        <v>4285</v>
      </c>
      <c r="D101" s="2">
        <v>185</v>
      </c>
      <c r="E101" s="2">
        <v>10</v>
      </c>
      <c r="F101" s="3" t="str">
        <f>HYPERLINK("http://www.sah.co.rs/wzpx-505-o5x50mm-pt100-2m.html?___store=serbian"," Pogledajte proizvod na sajtu -&gt;")</f>
        <v> Pogledajte proizvod na sajtu -&gt;</v>
      </c>
    </row>
    <row r="102" spans="1:6" ht="12.75">
      <c r="A102" s="2">
        <v>101</v>
      </c>
      <c r="B102" t="s">
        <v>4286</v>
      </c>
      <c r="C102" t="s">
        <v>4287</v>
      </c>
      <c r="D102" s="2">
        <v>201</v>
      </c>
      <c r="E102" s="2">
        <v>12</v>
      </c>
      <c r="F102" s="3" t="str">
        <f>HYPERLINK("http://www.sah.co.rs/wzpx-505-o5x50mm-pt100-5m.html?___store=serbian"," Pogledajte proizvod na sajtu -&gt;")</f>
        <v> Pogledajte proizvod na sajtu -&gt;</v>
      </c>
    </row>
    <row r="103" spans="1:6" ht="12.75">
      <c r="A103" s="2">
        <v>102</v>
      </c>
      <c r="B103" t="s">
        <v>4288</v>
      </c>
      <c r="C103" t="s">
        <v>4289</v>
      </c>
      <c r="D103" s="2">
        <v>10</v>
      </c>
      <c r="E103" s="2">
        <v>16</v>
      </c>
      <c r="F103" s="3" t="str">
        <f>HYPERLINK("http://www.sah.co.rs/dspcf-o5x80mm-pt100-1-5m.html?___store=serbian"," Pogledajte proizvod na sajtu -&gt;")</f>
        <v> Pogledajte proizvod na sajtu -&gt;</v>
      </c>
    </row>
    <row r="104" spans="1:6" ht="12.75">
      <c r="A104" s="2">
        <v>103</v>
      </c>
      <c r="B104" t="s">
        <v>4290</v>
      </c>
      <c r="C104" t="s">
        <v>4291</v>
      </c>
      <c r="D104" s="2">
        <v>28</v>
      </c>
      <c r="E104" s="2">
        <v>13</v>
      </c>
      <c r="F104" s="3" t="str">
        <f>HYPERLINK("http://www.sah.co.rs/wzp-270-o6x100mm-m16-pt100.html?___store=serbian"," Pogledajte proizvod na sajtu -&gt;")</f>
        <v> Pogledajte proizvod na sajtu -&gt;</v>
      </c>
    </row>
    <row r="105" spans="1:6" ht="12.75">
      <c r="A105" s="2">
        <v>104</v>
      </c>
      <c r="B105" t="s">
        <v>4292</v>
      </c>
      <c r="C105" t="s">
        <v>4293</v>
      </c>
      <c r="D105" s="2">
        <v>0</v>
      </c>
      <c r="E105" s="2">
        <v>15</v>
      </c>
      <c r="F105" s="3" t="str">
        <f>HYPERLINK("http://www.sah.co.rs/dspcs-o6x100mm-pt100-3m.html?___store=serbian"," Pogledajte proizvod na sajtu -&gt;")</f>
        <v> Pogledajte proizvod na sajtu -&gt;</v>
      </c>
    </row>
    <row r="106" spans="1:6" ht="12.75">
      <c r="A106" s="2">
        <v>105</v>
      </c>
      <c r="B106" t="s">
        <v>4294</v>
      </c>
      <c r="C106" t="s">
        <v>4295</v>
      </c>
      <c r="D106" s="2">
        <v>148</v>
      </c>
      <c r="E106" s="2">
        <v>10</v>
      </c>
      <c r="F106" s="3" t="str">
        <f>HYPERLINK("http://www.sah.co.rs/wrps-o6x10mm-pt100-1m.html?___store=serbian"," Pogledajte proizvod na sajtu -&gt;")</f>
        <v> Pogledajte proizvod na sajtu -&gt;</v>
      </c>
    </row>
    <row r="107" spans="1:6" ht="12.75">
      <c r="A107" s="2">
        <v>106</v>
      </c>
      <c r="B107" t="s">
        <v>4296</v>
      </c>
      <c r="C107" t="s">
        <v>4297</v>
      </c>
      <c r="D107" s="2">
        <v>34</v>
      </c>
      <c r="E107" s="2">
        <v>14</v>
      </c>
      <c r="F107" s="3" t="str">
        <f>HYPERLINK("http://www.sah.co.rs/wzp-270-o6x150mm-m16-pt100.html?___store=serbian"," Pogledajte proizvod na sajtu -&gt;")</f>
        <v> Pogledajte proizvod na sajtu -&gt;</v>
      </c>
    </row>
    <row r="108" spans="1:6" ht="12.75">
      <c r="A108" s="2">
        <v>107</v>
      </c>
      <c r="B108" t="s">
        <v>4298</v>
      </c>
      <c r="C108" t="s">
        <v>4299</v>
      </c>
      <c r="D108" s="2">
        <v>38</v>
      </c>
      <c r="E108" s="2">
        <v>15</v>
      </c>
      <c r="F108" s="3" t="str">
        <f>HYPERLINK("http://www.sah.co.rs/wzp-270-o6x300mm-m16-pt100.html?___store=serbian"," Pogledajte proizvod na sajtu -&gt;")</f>
        <v> Pogledajte proizvod na sajtu -&gt;</v>
      </c>
    </row>
    <row r="109" spans="1:6" ht="12.75">
      <c r="A109" s="2">
        <v>108</v>
      </c>
      <c r="B109" t="s">
        <v>4300</v>
      </c>
      <c r="C109" t="s">
        <v>4301</v>
      </c>
      <c r="D109" s="2">
        <v>37</v>
      </c>
      <c r="E109" s="2">
        <v>12</v>
      </c>
      <c r="F109" s="3" t="str">
        <f>HYPERLINK("http://www.sah.co.rs/wzp-291-o6x50mm-m12-pt100-1m.html?___store=serbian"," Pogledajte proizvod na sajtu -&gt;")</f>
        <v> Pogledajte proizvod na sajtu -&gt;</v>
      </c>
    </row>
    <row r="110" spans="1:6" ht="12.75">
      <c r="A110" s="2">
        <v>109</v>
      </c>
      <c r="B110" t="s">
        <v>4302</v>
      </c>
      <c r="C110" t="s">
        <v>4303</v>
      </c>
      <c r="D110" s="2">
        <v>51</v>
      </c>
      <c r="E110" s="2">
        <v>12</v>
      </c>
      <c r="F110" s="3" t="str">
        <f>HYPERLINK("http://www.sah.co.rs/wzp-270-o6x50mm-m16-pt100.html?___store=serbian"," Pogledajte proizvod na sajtu -&gt;")</f>
        <v> Pogledajte proizvod na sajtu -&gt;</v>
      </c>
    </row>
    <row r="111" spans="1:6" ht="12.75">
      <c r="A111" s="2">
        <v>110</v>
      </c>
      <c r="B111" t="s">
        <v>4304</v>
      </c>
      <c r="C111" t="s">
        <v>4305</v>
      </c>
      <c r="D111" s="2">
        <v>37</v>
      </c>
      <c r="E111" s="2">
        <v>14</v>
      </c>
      <c r="F111" s="3" t="str">
        <f>HYPERLINK("http://www.sah.co.rs/wrpx-12-o7x100mm-pt100-2m.html?___store=serbian"," Pogledajte proizvod na sajtu -&gt;")</f>
        <v> Pogledajte proizvod na sajtu -&gt;</v>
      </c>
    </row>
    <row r="112" spans="1:6" ht="12.75">
      <c r="A112" s="2">
        <v>111</v>
      </c>
      <c r="B112" t="s">
        <v>4306</v>
      </c>
      <c r="C112" t="s">
        <v>4307</v>
      </c>
      <c r="D112" s="2">
        <v>45</v>
      </c>
      <c r="E112" s="2">
        <v>15</v>
      </c>
      <c r="F112" s="3" t="str">
        <f>HYPERLINK("http://www.sah.co.rs/wrpx-12-o7x150mm-pt100-2m.html?___store=serbian"," Pogledajte proizvod na sajtu -&gt;")</f>
        <v> Pogledajte proizvod na sajtu -&gt;</v>
      </c>
    </row>
    <row r="113" spans="1:6" ht="12.75">
      <c r="A113" s="2">
        <v>112</v>
      </c>
      <c r="B113" t="s">
        <v>4308</v>
      </c>
      <c r="C113" t="s">
        <v>4309</v>
      </c>
      <c r="D113" s="2">
        <v>56</v>
      </c>
      <c r="E113" s="2">
        <v>16</v>
      </c>
      <c r="F113" s="3" t="str">
        <f>HYPERLINK("http://www.sah.co.rs/wrpx-12-o7x200mm-pt100-2m.html?___store=serbian"," Pogledajte proizvod na sajtu -&gt;")</f>
        <v> Pogledajte proizvod na sajtu -&gt;</v>
      </c>
    </row>
    <row r="114" spans="1:6" ht="12.75">
      <c r="A114" s="2">
        <v>113</v>
      </c>
      <c r="B114" t="s">
        <v>4310</v>
      </c>
      <c r="C114" t="s">
        <v>4311</v>
      </c>
      <c r="D114" s="2">
        <v>38</v>
      </c>
      <c r="E114" s="2">
        <v>17</v>
      </c>
      <c r="F114" s="3" t="str">
        <f>HYPERLINK("http://www.sah.co.rs/wrpx-12-o7x250mm-pt100-2m.html?___store=serbian"," Pogledajte proizvod na sajtu -&gt;")</f>
        <v> Pogledajte proizvod na sajtu -&gt;</v>
      </c>
    </row>
    <row r="115" spans="1:6" ht="12.75">
      <c r="A115" s="2">
        <v>114</v>
      </c>
      <c r="B115" t="s">
        <v>4312</v>
      </c>
      <c r="C115" t="s">
        <v>4313</v>
      </c>
      <c r="D115" s="2">
        <v>0</v>
      </c>
      <c r="E115" s="2">
        <v>18</v>
      </c>
      <c r="F115" s="3" t="str">
        <f>HYPERLINK("http://www.sah.co.rs/wrpx-12-o7x300mm-pt100-2m.html?___store=serbian"," Pogledajte proizvod na sajtu -&gt;")</f>
        <v> Pogledajte proizvod na sajtu -&gt;</v>
      </c>
    </row>
    <row r="116" spans="1:6" ht="12.75">
      <c r="A116" s="2">
        <v>115</v>
      </c>
      <c r="B116" t="s">
        <v>4314</v>
      </c>
      <c r="C116" t="s">
        <v>4315</v>
      </c>
      <c r="D116" s="2">
        <v>61</v>
      </c>
      <c r="E116" s="2">
        <v>19</v>
      </c>
      <c r="F116" s="3" t="str">
        <f>HYPERLINK("http://www.sah.co.rs/wrpx-12-o7x400mm-pt100-2m.html?___store=serbian"," Pogledajte proizvod na sajtu -&gt;")</f>
        <v> Pogledajte proizvod na sajtu -&gt;</v>
      </c>
    </row>
    <row r="117" spans="1:6" ht="12.75">
      <c r="A117" s="2">
        <v>116</v>
      </c>
      <c r="B117" t="s">
        <v>4316</v>
      </c>
      <c r="C117" t="s">
        <v>4317</v>
      </c>
      <c r="D117" s="2">
        <v>27</v>
      </c>
      <c r="E117" s="2">
        <v>20</v>
      </c>
      <c r="F117" s="3" t="str">
        <f>HYPERLINK("http://www.sah.co.rs/wrpx-12-o7x500mm-pt100-2m.html?___store=serbian"," Pogledajte proizvod na sajtu -&gt;")</f>
        <v> Pogledajte proizvod na sajtu -&gt;</v>
      </c>
    </row>
    <row r="118" spans="1:6" ht="12.75">
      <c r="A118" s="2">
        <v>117</v>
      </c>
      <c r="B118" t="s">
        <v>4318</v>
      </c>
      <c r="C118" t="s">
        <v>4319</v>
      </c>
      <c r="D118" s="2">
        <v>73</v>
      </c>
      <c r="E118" s="2">
        <v>13</v>
      </c>
      <c r="F118" s="3" t="str">
        <f>HYPERLINK("http://www.sah.co.rs/wrpx-12-o7x50mm-pt100-2m.html?___store=serbian"," Pogledajte proizvod na sajtu -&gt;")</f>
        <v> Pogledajte proizvod na sajtu -&gt;</v>
      </c>
    </row>
    <row r="119" spans="1:6" ht="12.75">
      <c r="A119" s="2">
        <v>118</v>
      </c>
      <c r="B119" t="s">
        <v>4320</v>
      </c>
      <c r="C119" t="s">
        <v>4321</v>
      </c>
      <c r="D119" s="2">
        <v>0</v>
      </c>
      <c r="E119" s="2">
        <v>22</v>
      </c>
      <c r="F119" s="3" t="str">
        <f>HYPERLINK("http://www.sah.co.rs/dspb-o8x40mm-g3-8-pt100-3-5m.html?___store=serbian"," Pogledajte proizvod na sajtu -&gt;")</f>
        <v> Pogledajte proizvod na sajtu -&gt;</v>
      </c>
    </row>
    <row r="120" spans="1:6" ht="12.75">
      <c r="A120" s="2">
        <v>119</v>
      </c>
      <c r="B120" t="s">
        <v>4322</v>
      </c>
      <c r="C120" t="s">
        <v>4323</v>
      </c>
      <c r="D120" s="2">
        <v>5</v>
      </c>
      <c r="E120" s="2">
        <v>17.5</v>
      </c>
      <c r="F120" s="3" t="str">
        <f>HYPERLINK("http://www.sah.co.rs/dspb-o8x40mm-g3-8-pt100-1-5m.html?___store=serbian"," Pogledajte proizvod na sajtu -&gt;")</f>
        <v> Pogledajte proizvod na sajtu -&gt;</v>
      </c>
    </row>
    <row r="121" spans="1:6" ht="12.75">
      <c r="A121" s="2">
        <v>120</v>
      </c>
      <c r="B121" t="s">
        <v>4324</v>
      </c>
      <c r="C121" t="s">
        <v>4325</v>
      </c>
      <c r="D121" s="2">
        <v>43</v>
      </c>
      <c r="E121" s="2">
        <v>18.5</v>
      </c>
      <c r="F121" s="3" t="str">
        <f>HYPERLINK("http://www.sah.co.rs/dspb-o8x40mm-g3-8-pt100-2m.html?___store=serbian"," Pogledajte proizvod na sajtu -&gt;")</f>
        <v> Pogledajte proizvod na sajtu -&gt;</v>
      </c>
    </row>
    <row r="122" spans="1:6" ht="12.75">
      <c r="A122" s="2">
        <v>121</v>
      </c>
      <c r="B122" t="s">
        <v>4326</v>
      </c>
      <c r="C122" t="s">
        <v>4327</v>
      </c>
      <c r="D122" s="2">
        <v>40</v>
      </c>
      <c r="E122" s="2">
        <v>20</v>
      </c>
      <c r="F122" s="3" t="str">
        <f>HYPERLINK("http://www.sah.co.rs/dspc-o8x80mm-pt100-2m.html?___store=serbian"," Pogledajte proizvod na sajtu -&gt;")</f>
        <v> Pogledajte proizvod na sajtu -&gt;</v>
      </c>
    </row>
    <row r="123" spans="1:6" ht="12.75">
      <c r="A123" s="2">
        <v>122</v>
      </c>
      <c r="B123" t="s">
        <v>4328</v>
      </c>
      <c r="C123" t="s">
        <v>4329</v>
      </c>
      <c r="D123" s="2">
        <v>140</v>
      </c>
      <c r="E123" s="2">
        <v>4</v>
      </c>
      <c r="F123" s="3" t="str">
        <f>HYPERLINK("http://www.sah.co.rs/wzp-o4x30mm-pt1000-0-5m.html?___store=serbian"," Pogledajte proizvod na sajtu -&gt;")</f>
        <v> Pogledajte proizvod na sajtu -&gt;</v>
      </c>
    </row>
    <row r="124" spans="1:6" ht="12.75">
      <c r="A124" s="2">
        <v>123</v>
      </c>
      <c r="B124" t="s">
        <v>4330</v>
      </c>
      <c r="C124" t="s">
        <v>4331</v>
      </c>
      <c r="D124" s="2">
        <v>125</v>
      </c>
      <c r="E124" s="2">
        <v>10</v>
      </c>
      <c r="F124" s="3" t="str">
        <f>HYPERLINK("http://www.sah.co.rs/wzp-o4x30mm-pt1000-2m.html?___store=serbian"," Pogledajte proizvod na sajtu -&gt;")</f>
        <v> Pogledajte proizvod na sajtu -&gt;</v>
      </c>
    </row>
    <row r="125" spans="1:6" ht="12.75">
      <c r="A125" s="2">
        <v>124</v>
      </c>
      <c r="B125" t="s">
        <v>4332</v>
      </c>
      <c r="C125" t="s">
        <v>4333</v>
      </c>
      <c r="D125" s="2">
        <v>173</v>
      </c>
      <c r="E125" s="2">
        <v>10</v>
      </c>
      <c r="F125" s="3" t="str">
        <f>HYPERLINK("http://www.sah.co.rs/wrps-o6x10mm-pt1000-1m.html?___store=serbian"," Pogledajte proizvod na sajtu -&gt;")</f>
        <v> Pogledajte proizvod na sajtu -&gt;</v>
      </c>
    </row>
    <row r="126" spans="1:6" ht="12.75">
      <c r="A126" s="2">
        <v>125</v>
      </c>
      <c r="B126" t="s">
        <v>4334</v>
      </c>
      <c r="C126" t="s">
        <v>4335</v>
      </c>
      <c r="D126" s="2">
        <v>383</v>
      </c>
      <c r="E126" s="2">
        <v>5</v>
      </c>
      <c r="F126" s="3" t="str">
        <f>HYPERLINK("http://www.sah.co.rs/wzp-o3x25mm-pt100-2-zice-0-3m.html?___store=serbian"," Pogledajte proizvod na sajtu -&gt;")</f>
        <v> Pogledajte proizvod na sajtu -&gt;</v>
      </c>
    </row>
    <row r="127" spans="1:6" ht="12.75">
      <c r="A127" s="2">
        <v>126</v>
      </c>
      <c r="B127" t="s">
        <v>4336</v>
      </c>
      <c r="C127" t="s">
        <v>4337</v>
      </c>
      <c r="D127" s="2">
        <v>84</v>
      </c>
      <c r="E127" s="2">
        <v>5</v>
      </c>
      <c r="F127" s="3" t="str">
        <f>HYPERLINK("http://www.sah.co.rs/wzp-o3x25mm-pt100-3-zice-0-3m.html?___store=serbian","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31.7109375" style="0" customWidth="1"/>
    <col min="3" max="3" width="73.71093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4338</v>
      </c>
      <c r="C2" t="s">
        <v>4339</v>
      </c>
      <c r="D2" s="2">
        <v>2232</v>
      </c>
      <c r="E2" s="2">
        <v>1.5</v>
      </c>
      <c r="F2" s="3" t="str">
        <f>HYPERLINK("http://www.sah.co.rs/kompenzacioni-kabl-j-2x1x0-4.html?___store=serbian"," Pogledajte proizvod na sajtu -&gt;")</f>
        <v> Pogledajte proizvod na sajtu -&gt;</v>
      </c>
    </row>
    <row r="3" spans="1:6" ht="12.75">
      <c r="A3" s="2">
        <v>2</v>
      </c>
      <c r="B3" t="s">
        <v>4340</v>
      </c>
      <c r="C3" t="s">
        <v>4341</v>
      </c>
      <c r="D3" s="2">
        <v>170</v>
      </c>
      <c r="E3" s="2">
        <v>2.5</v>
      </c>
      <c r="F3" s="3" t="str">
        <f>HYPERLINK("http://www.sah.co.rs/kompenzacioni-kabl-j-2x7x0-2.html?___store=serbian"," Pogledajte proizvod na sajtu -&gt;")</f>
        <v> Pogledajte proizvod na sajtu -&gt;</v>
      </c>
    </row>
    <row r="4" spans="1:6" ht="12.75">
      <c r="A4" s="2">
        <v>3</v>
      </c>
      <c r="B4" t="s">
        <v>4342</v>
      </c>
      <c r="C4" t="s">
        <v>4343</v>
      </c>
      <c r="D4" s="2">
        <v>2570</v>
      </c>
      <c r="E4" s="2">
        <v>1.5</v>
      </c>
      <c r="F4" s="3" t="str">
        <f>HYPERLINK("http://www.sah.co.rs/kompenzacioni-kabl-k-2x1x0-4.html?___store=serbian"," Pogledajte proizvod na sajtu -&gt;")</f>
        <v> Pogledajte proizvod na sajtu -&gt;</v>
      </c>
    </row>
    <row r="5" spans="1:6" ht="12.75">
      <c r="A5" s="2">
        <v>4</v>
      </c>
      <c r="B5" t="s">
        <v>4344</v>
      </c>
      <c r="C5" t="s">
        <v>4345</v>
      </c>
      <c r="D5" s="2">
        <v>409</v>
      </c>
      <c r="E5" s="2">
        <v>2.5</v>
      </c>
      <c r="F5" s="3" t="str">
        <f>HYPERLINK("http://www.sah.co.rs/kompenzacioni-kabl-k-2x7x0-2.html?___store=serbian"," Pogledajte proizvod na sajtu -&gt;")</f>
        <v> Pogledajte proizvod na sajtu -&gt;</v>
      </c>
    </row>
    <row r="6" spans="1:6" ht="12.75">
      <c r="A6" s="2">
        <v>5</v>
      </c>
      <c r="B6" t="s">
        <v>4346</v>
      </c>
      <c r="C6" t="s">
        <v>4347</v>
      </c>
      <c r="D6" s="2">
        <v>316</v>
      </c>
      <c r="E6" s="2">
        <v>1.5</v>
      </c>
      <c r="F6" s="3" t="str">
        <f aca="true" t="shared" si="0" ref="F6:F7">HYPERLINK("http://www.sah.co.rs/kompenzacioni-kabl-pt100-3x7x0-15.html?___store=serbian"," Pogledajte proizvod na sajtu -&gt;")</f>
        <v> Pogledajte proizvod na sajtu -&gt;</v>
      </c>
    </row>
    <row r="7" spans="1:6" ht="12.75">
      <c r="A7" s="2">
        <v>6</v>
      </c>
      <c r="B7" t="s">
        <v>4346</v>
      </c>
      <c r="C7" t="s">
        <v>4348</v>
      </c>
      <c r="D7" s="2">
        <v>0</v>
      </c>
      <c r="E7" s="2">
        <v>1.2</v>
      </c>
      <c r="F7" s="3" t="str">
        <f t="shared" si="0"/>
        <v> Pogledajte proizvod na sajtu -&gt;</v>
      </c>
    </row>
    <row r="8" spans="1:6" ht="12.75">
      <c r="A8" s="2">
        <v>7</v>
      </c>
      <c r="B8" t="s">
        <v>4349</v>
      </c>
      <c r="C8" t="s">
        <v>4350</v>
      </c>
      <c r="D8" s="2">
        <v>133</v>
      </c>
      <c r="E8" s="2">
        <v>3</v>
      </c>
      <c r="F8" s="3" t="str">
        <f>HYPERLINK("http://www.sah.co.rs/konektor-za-k-tip-sonde.html?___store=serbian"," Pogledajte proizvod na sajtu -&gt;")</f>
        <v> Pogledajte proizvod na sajtu -&gt;</v>
      </c>
    </row>
    <row r="9" spans="1:6" ht="12.75">
      <c r="A9" s="2">
        <v>8</v>
      </c>
      <c r="B9" t="s">
        <v>4351</v>
      </c>
      <c r="C9" t="s">
        <v>4352</v>
      </c>
      <c r="D9" s="2">
        <v>100</v>
      </c>
      <c r="E9" s="2">
        <v>1.5</v>
      </c>
      <c r="F9" s="3" t="str">
        <f>HYPERLINK("http://www.sah.co.rs/fla12.html?___store=serbian"," Pogledajte proizvod na sajtu -&gt;")</f>
        <v> Pogledajte proizvod na sajtu -&gt;</v>
      </c>
    </row>
    <row r="10" spans="1:6" ht="12.75">
      <c r="A10" s="2">
        <v>9</v>
      </c>
      <c r="B10" t="s">
        <v>4353</v>
      </c>
      <c r="C10" t="s">
        <v>4354</v>
      </c>
      <c r="D10" s="2">
        <v>100</v>
      </c>
      <c r="E10" s="2">
        <v>1.5</v>
      </c>
      <c r="F10" s="3" t="str">
        <f>HYPERLINK("http://www.sah.co.rs/fla16.html?___store=serbian"," Pogledajte proizvod na sajtu -&gt;")</f>
        <v> Pogledajte proizvod na sajtu -&gt;</v>
      </c>
    </row>
    <row r="11" spans="1:6" ht="12.75">
      <c r="A11" s="2">
        <v>10</v>
      </c>
      <c r="B11" t="s">
        <v>4355</v>
      </c>
      <c r="C11" t="s">
        <v>4356</v>
      </c>
      <c r="D11" s="2">
        <v>100</v>
      </c>
      <c r="E11" s="2">
        <v>1.5</v>
      </c>
      <c r="F11" s="3" t="str">
        <f>HYPERLINK("http://www.sah.co.rs/fla20.html?___store=serbian"," Pogledajte proizvod na sajtu -&gt;")</f>
        <v> Pogledajte proizvod na sajtu -&gt;</v>
      </c>
    </row>
    <row r="12" spans="1:6" ht="12.75">
      <c r="A12" s="2">
        <v>11</v>
      </c>
      <c r="B12" t="s">
        <v>4357</v>
      </c>
      <c r="C12" t="s">
        <v>4358</v>
      </c>
      <c r="D12" s="2">
        <v>86</v>
      </c>
      <c r="E12" s="2">
        <v>5</v>
      </c>
      <c r="F12" s="3" t="str">
        <f>HYPERLINK("http://www.sah.co.rs/mc70m12.html?___store=serbian"," Pogledajte proizvod na sajtu -&gt;")</f>
        <v> Pogledajte proizvod na sajtu -&gt;</v>
      </c>
    </row>
    <row r="13" spans="1:6" ht="12.75">
      <c r="A13" s="2">
        <v>12</v>
      </c>
      <c r="B13" t="s">
        <v>4359</v>
      </c>
      <c r="C13" t="s">
        <v>4360</v>
      </c>
      <c r="D13" s="2">
        <v>15</v>
      </c>
      <c r="E13" s="2">
        <v>8</v>
      </c>
      <c r="F13" s="3" t="str">
        <f>HYPERLINK("http://www.sah.co.rs/th70m16.html?___store=serbian"," Pogledajte proizvod na sajtu -&gt;")</f>
        <v> Pogledajte proizvod na sajtu -&gt;</v>
      </c>
    </row>
    <row r="14" spans="1:6" ht="12.75">
      <c r="A14" s="2">
        <v>13</v>
      </c>
      <c r="B14" t="s">
        <v>4361</v>
      </c>
      <c r="C14" t="s">
        <v>4360</v>
      </c>
      <c r="D14" s="2">
        <v>94</v>
      </c>
      <c r="E14" s="2">
        <v>5</v>
      </c>
      <c r="F14" s="3" t="str">
        <f>HYPERLINK("http://www.sah.co.rs/mc70m16.html?___store=serbian"," Pogledajte proizvod na sajtu -&gt;")</f>
        <v> Pogledajte proizvod na sajtu -&gt;</v>
      </c>
    </row>
    <row r="15" spans="1:6" ht="12.75">
      <c r="A15" s="2">
        <v>14</v>
      </c>
      <c r="B15" t="s">
        <v>4362</v>
      </c>
      <c r="C15" t="s">
        <v>4363</v>
      </c>
      <c r="D15" s="2">
        <v>99</v>
      </c>
      <c r="E15" s="2">
        <v>5</v>
      </c>
      <c r="F15" s="3" t="str">
        <f>HYPERLINK("http://www.sah.co.rs/mc70m18.html?___store=serbian","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F157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9.28125" style="0" customWidth="1"/>
    <col min="3" max="3" width="99.4218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4364</v>
      </c>
      <c r="C2" t="s">
        <v>4365</v>
      </c>
      <c r="D2" s="2">
        <v>1</v>
      </c>
      <c r="E2" s="2">
        <v>150</v>
      </c>
      <c r="F2" s="3" t="str">
        <f>HYPERLINK("http://www.sah.co.rs/gdc-100.html?___store=serbian"," Pogledajte proizvod na sajtu -&gt;")</f>
        <v> Pogledajte proizvod na sajtu -&gt;</v>
      </c>
    </row>
    <row r="3" spans="1:6" ht="12.75">
      <c r="A3" s="2">
        <v>2</v>
      </c>
      <c r="B3" t="s">
        <v>4366</v>
      </c>
      <c r="C3" t="s">
        <v>4367</v>
      </c>
      <c r="D3" s="2">
        <v>9</v>
      </c>
      <c r="E3" s="2">
        <v>72.5</v>
      </c>
      <c r="F3" s="3" t="str">
        <f>HYPERLINK("http://www.sah.co.rs/xmtf-938p.html?___store=serbian"," Pogledajte proizvod na sajtu -&gt;")</f>
        <v> Pogledajte proizvod na sajtu -&gt;</v>
      </c>
    </row>
    <row r="4" spans="1:6" ht="12.75">
      <c r="A4" s="2">
        <v>3</v>
      </c>
      <c r="B4" t="s">
        <v>4368</v>
      </c>
      <c r="C4" t="s">
        <v>4367</v>
      </c>
      <c r="D4" s="2">
        <v>9</v>
      </c>
      <c r="E4" s="2">
        <v>75</v>
      </c>
      <c r="F4" s="3" t="str">
        <f>HYPERLINK("http://www.sah.co.rs/xmta-938p.html?___store=serbian"," Pogledajte proizvod na sajtu -&gt;")</f>
        <v> Pogledajte proizvod na sajtu -&gt;</v>
      </c>
    </row>
    <row r="5" spans="1:6" ht="12.75">
      <c r="A5" s="2">
        <v>4</v>
      </c>
      <c r="B5" t="s">
        <v>4369</v>
      </c>
      <c r="C5" t="s">
        <v>4370</v>
      </c>
      <c r="D5" s="2">
        <v>0</v>
      </c>
      <c r="E5" s="2">
        <v>80</v>
      </c>
      <c r="F5" s="3" t="str">
        <f>HYPERLINK("http://www.sah.co.rs/xmtg-938pk.html?___store=serbian"," Pogledajte proizvod na sajtu -&gt;")</f>
        <v> Pogledajte proizvod na sajtu -&gt;</v>
      </c>
    </row>
    <row r="6" spans="1:6" ht="12.75">
      <c r="A6" s="2">
        <v>5</v>
      </c>
      <c r="B6" t="s">
        <v>4371</v>
      </c>
      <c r="C6" t="s">
        <v>4370</v>
      </c>
      <c r="D6" s="2">
        <v>15</v>
      </c>
      <c r="E6" s="2">
        <v>85</v>
      </c>
      <c r="F6" s="3" t="str">
        <f>HYPERLINK("http://www.sah.co.rs/xmtf-938pk.html?___store=serbian"," Pogledajte proizvod na sajtu -&gt;")</f>
        <v> Pogledajte proizvod na sajtu -&gt;</v>
      </c>
    </row>
    <row r="7" spans="1:6" ht="12.75">
      <c r="A7" s="2">
        <v>6</v>
      </c>
      <c r="B7" t="s">
        <v>4372</v>
      </c>
      <c r="C7" t="s">
        <v>4370</v>
      </c>
      <c r="D7" s="2">
        <v>7</v>
      </c>
      <c r="E7" s="2">
        <v>90</v>
      </c>
      <c r="F7" s="3" t="str">
        <f>HYPERLINK("http://www.sah.co.rs/xmta-938pk.html?___store=serbian"," Pogledajte proizvod na sajtu -&gt;")</f>
        <v> Pogledajte proizvod na sajtu -&gt;</v>
      </c>
    </row>
    <row r="8" spans="1:6" ht="12.75">
      <c r="A8" s="2">
        <v>7</v>
      </c>
      <c r="B8" t="s">
        <v>4373</v>
      </c>
      <c r="C8" t="s">
        <v>4374</v>
      </c>
      <c r="D8" s="2">
        <v>18</v>
      </c>
      <c r="E8" s="2">
        <v>75</v>
      </c>
      <c r="F8" s="3" t="str">
        <f>HYPERLINK("http://www.sah.co.rs/xmta-838p.html?___store=serbian"," Pogledajte proizvod na sajtu -&gt;")</f>
        <v> Pogledajte proizvod na sajtu -&gt;</v>
      </c>
    </row>
    <row r="9" spans="1:6" ht="12.75">
      <c r="A9" s="2">
        <v>8</v>
      </c>
      <c r="B9" t="s">
        <v>4375</v>
      </c>
      <c r="C9" t="s">
        <v>4374</v>
      </c>
      <c r="D9" s="2">
        <v>30</v>
      </c>
      <c r="E9" s="2">
        <v>70</v>
      </c>
      <c r="F9" s="3" t="str">
        <f>HYPERLINK("http://www.sah.co.rs/xmtg-838p.html?___store=serbian"," Pogledajte proizvod na sajtu -&gt;")</f>
        <v> Pogledajte proizvod na sajtu -&gt;</v>
      </c>
    </row>
    <row r="10" spans="1:6" ht="12.75">
      <c r="A10" s="2">
        <v>9</v>
      </c>
      <c r="B10" t="s">
        <v>4376</v>
      </c>
      <c r="C10" t="s">
        <v>4377</v>
      </c>
      <c r="D10" s="2">
        <v>1</v>
      </c>
      <c r="E10" s="2">
        <v>90</v>
      </c>
      <c r="F10" s="3" t="str">
        <f>HYPERLINK("http://www.sah.co.rs/xmtg-838pk.html?___store=serbian"," Pogledajte proizvod na sajtu -&gt;")</f>
        <v> Pogledajte proizvod na sajtu -&gt;</v>
      </c>
    </row>
    <row r="11" spans="1:6" ht="12.75">
      <c r="A11" s="2">
        <v>10</v>
      </c>
      <c r="B11" t="s">
        <v>4378</v>
      </c>
      <c r="C11" t="s">
        <v>4377</v>
      </c>
      <c r="D11" s="2">
        <v>7</v>
      </c>
      <c r="E11" s="2">
        <v>100</v>
      </c>
      <c r="F11" s="3" t="str">
        <f>HYPERLINK("http://www.sah.co.rs/xmta-838pk.html?___store=serbian"," Pogledajte proizvod na sajtu -&gt;")</f>
        <v> Pogledajte proizvod na sajtu -&gt;</v>
      </c>
    </row>
    <row r="12" spans="1:6" ht="12.75">
      <c r="A12" s="2">
        <v>11</v>
      </c>
      <c r="B12" t="s">
        <v>4379</v>
      </c>
      <c r="C12" t="s">
        <v>4380</v>
      </c>
      <c r="D12" s="2">
        <v>2</v>
      </c>
      <c r="E12" s="2">
        <v>95</v>
      </c>
      <c r="F12" s="3" t="str">
        <f>HYPERLINK("http://www.sah.co.rs/mcp-5838-101-000.html?___store=serbian"," Pogledajte proizvod na sajtu -&gt;")</f>
        <v> Pogledajte proizvod na sajtu -&gt;</v>
      </c>
    </row>
    <row r="13" spans="1:6" ht="12.75">
      <c r="A13" s="2">
        <v>12</v>
      </c>
      <c r="B13" t="s">
        <v>4381</v>
      </c>
      <c r="C13" t="s">
        <v>4380</v>
      </c>
      <c r="D13" s="2">
        <v>2</v>
      </c>
      <c r="E13" s="2">
        <v>90</v>
      </c>
      <c r="F13" s="3" t="str">
        <f>HYPERLINK("http://www.sah.co.rs/mcp-5738-101-000.html?___store=serbian"," Pogledajte proizvod na sajtu -&gt;")</f>
        <v> Pogledajte proizvod na sajtu -&gt;</v>
      </c>
    </row>
    <row r="14" spans="1:6" ht="12.75">
      <c r="A14" s="2">
        <v>13</v>
      </c>
      <c r="B14" t="s">
        <v>4382</v>
      </c>
      <c r="C14" t="s">
        <v>4383</v>
      </c>
      <c r="D14" s="2">
        <v>2</v>
      </c>
      <c r="E14" s="2">
        <v>90</v>
      </c>
      <c r="F14" s="3" t="str">
        <f>HYPERLINK("http://www.sah.co.rs/mcp-5438-102-000.html?___store=serbian"," Pogledajte proizvod na sajtu -&gt;")</f>
        <v> Pogledajte proizvod na sajtu -&gt;</v>
      </c>
    </row>
    <row r="15" spans="1:6" ht="12.75">
      <c r="A15" s="2">
        <v>14</v>
      </c>
      <c r="B15" t="s">
        <v>4384</v>
      </c>
      <c r="C15" t="s">
        <v>4385</v>
      </c>
      <c r="D15" s="2">
        <v>2</v>
      </c>
      <c r="E15" s="2">
        <v>120</v>
      </c>
      <c r="F15" s="3" t="str">
        <f>HYPERLINK("http://www.sah.co.rs/mcp-5838-102-100.html?___store=serbian"," Pogledajte proizvod na sajtu -&gt;")</f>
        <v> Pogledajte proizvod na sajtu -&gt;</v>
      </c>
    </row>
    <row r="16" spans="1:6" ht="12.75">
      <c r="A16" s="2">
        <v>15</v>
      </c>
      <c r="B16" t="s">
        <v>4386</v>
      </c>
      <c r="C16" t="s">
        <v>4387</v>
      </c>
      <c r="D16" s="2">
        <v>0</v>
      </c>
      <c r="E16" s="2">
        <v>120</v>
      </c>
      <c r="F16" s="3" t="str">
        <f>HYPERLINK("http://www.sah.co.rs/mcp-5838-102-002.html?___store=serbian"," Pogledajte proizvod na sajtu -&gt;")</f>
        <v> Pogledajte proizvod na sajtu -&gt;</v>
      </c>
    </row>
    <row r="17" spans="1:6" ht="12.75">
      <c r="A17" s="2">
        <v>16</v>
      </c>
      <c r="B17" t="s">
        <v>4388</v>
      </c>
      <c r="C17" t="s">
        <v>4387</v>
      </c>
      <c r="D17" s="2">
        <v>2</v>
      </c>
      <c r="E17" s="2">
        <v>110</v>
      </c>
      <c r="F17" s="3" t="str">
        <f>HYPERLINK("http://www.sah.co.rs/mcp-5438-102-002.html?___store=serbian"," Pogledajte proizvod na sajtu -&gt;")</f>
        <v> Pogledajte proizvod na sajtu -&gt;</v>
      </c>
    </row>
    <row r="18" spans="1:6" ht="12.75">
      <c r="A18" s="2">
        <v>17</v>
      </c>
      <c r="B18" t="s">
        <v>4389</v>
      </c>
      <c r="C18" t="s">
        <v>4390</v>
      </c>
      <c r="D18" s="2">
        <v>2</v>
      </c>
      <c r="E18" s="2">
        <v>100</v>
      </c>
      <c r="F18" s="3" t="str">
        <f>HYPERLINK("http://www.sah.co.rs/mcp-5838-111-000.html?___store=serbian"," Pogledajte proizvod na sajtu -&gt;")</f>
        <v> Pogledajte proizvod na sajtu -&gt;</v>
      </c>
    </row>
    <row r="19" spans="1:6" ht="12.75">
      <c r="A19" s="2">
        <v>18</v>
      </c>
      <c r="B19" t="s">
        <v>4391</v>
      </c>
      <c r="C19" t="s">
        <v>4390</v>
      </c>
      <c r="D19" s="2">
        <v>2</v>
      </c>
      <c r="E19" s="2">
        <v>85</v>
      </c>
      <c r="F19" s="3" t="str">
        <f>HYPERLINK("http://www.sah.co.rs/mcp-5438-111-000.html?___store=serbian"," Pogledajte proizvod na sajtu -&gt;")</f>
        <v> Pogledajte proizvod na sajtu -&gt;</v>
      </c>
    </row>
    <row r="20" spans="1:6" ht="12.75">
      <c r="A20" s="2">
        <v>19</v>
      </c>
      <c r="B20" t="s">
        <v>4392</v>
      </c>
      <c r="C20" t="s">
        <v>4390</v>
      </c>
      <c r="D20" s="2">
        <v>2</v>
      </c>
      <c r="E20" s="2">
        <v>90</v>
      </c>
      <c r="F20" s="3" t="str">
        <f>HYPERLINK("http://www.sah.co.rs/mcp-5738-111-000.html?___store=serbian"," Pogledajte proizvod na sajtu -&gt;")</f>
        <v> Pogledajte proizvod na sajtu -&gt;</v>
      </c>
    </row>
    <row r="21" spans="1:6" ht="12.75">
      <c r="A21" s="2">
        <v>20</v>
      </c>
      <c r="B21" t="s">
        <v>4393</v>
      </c>
      <c r="C21" t="s">
        <v>4394</v>
      </c>
      <c r="D21" s="2">
        <v>2</v>
      </c>
      <c r="E21" s="2">
        <v>120</v>
      </c>
      <c r="F21" s="3" t="str">
        <f>HYPERLINK("http://www.sah.co.rs/mcp-5838-111-002.html?___store=serbian"," Pogledajte proizvod na sajtu -&gt;")</f>
        <v> Pogledajte proizvod na sajtu -&gt;</v>
      </c>
    </row>
    <row r="22" spans="1:6" ht="12.75">
      <c r="A22" s="2">
        <v>21</v>
      </c>
      <c r="B22" t="s">
        <v>4395</v>
      </c>
      <c r="C22" t="s">
        <v>4396</v>
      </c>
      <c r="D22" s="2">
        <v>2</v>
      </c>
      <c r="E22" s="2">
        <v>90</v>
      </c>
      <c r="F22" s="3" t="str">
        <f>HYPERLINK("http://www.sah.co.rs/mcp-5438-311-000.html?___store=serbian"," Pogledajte proizvod na sajtu -&gt;")</f>
        <v> Pogledajte proizvod na sajtu -&gt;</v>
      </c>
    </row>
    <row r="23" spans="1:6" ht="12.75">
      <c r="A23" s="2">
        <v>22</v>
      </c>
      <c r="B23" t="s">
        <v>4397</v>
      </c>
      <c r="C23" t="s">
        <v>4396</v>
      </c>
      <c r="D23" s="2">
        <v>2</v>
      </c>
      <c r="E23" s="2">
        <v>100</v>
      </c>
      <c r="F23" s="3" t="str">
        <f>HYPERLINK("http://www.sah.co.rs/mcp-5838-311-000.html?___store=serbian"," Pogledajte proizvod na sajtu -&gt;")</f>
        <v> Pogledajte proizvod na sajtu -&gt;</v>
      </c>
    </row>
    <row r="24" spans="1:6" ht="12.75">
      <c r="A24" s="2">
        <v>23</v>
      </c>
      <c r="B24" t="s">
        <v>4398</v>
      </c>
      <c r="C24" t="s">
        <v>4399</v>
      </c>
      <c r="D24" s="2">
        <v>4</v>
      </c>
      <c r="E24" s="2">
        <v>230</v>
      </c>
      <c r="F24" s="3" t="str">
        <f>HYPERLINK("http://www.sah.co.rs/np100.html?___store=serbian"," Pogledajte proizvod na sajtu -&gt;")</f>
        <v> Pogledajte proizvod na sajtu -&gt;</v>
      </c>
    </row>
    <row r="25" spans="1:6" ht="12.75">
      <c r="A25" s="2">
        <v>24</v>
      </c>
      <c r="B25" t="s">
        <v>4400</v>
      </c>
      <c r="C25" t="s">
        <v>4401</v>
      </c>
      <c r="D25" s="2">
        <v>2</v>
      </c>
      <c r="E25" s="2">
        <v>90</v>
      </c>
      <c r="F25" s="3" t="str">
        <f>HYPERLINK("http://www.sah.co.rs/mcp-5438-101-0b0.html?___store=serbian"," Pogledajte proizvod na sajtu -&gt;")</f>
        <v> Pogledajte proizvod na sajtu -&gt;</v>
      </c>
    </row>
    <row r="26" spans="1:6" ht="12.75">
      <c r="A26" s="2">
        <v>25</v>
      </c>
      <c r="B26" t="s">
        <v>4402</v>
      </c>
      <c r="C26" t="s">
        <v>4403</v>
      </c>
      <c r="D26" s="2">
        <v>2</v>
      </c>
      <c r="E26" s="2">
        <v>90</v>
      </c>
      <c r="F26" s="3" t="str">
        <f>HYPERLINK("http://www.sah.co.rs/mcp-5438-101-010.html?___store=serbian"," Pogledajte proizvod na sajtu -&gt;")</f>
        <v> Pogledajte proizvod na sajtu -&gt;</v>
      </c>
    </row>
    <row r="27" spans="1:6" ht="12.75">
      <c r="A27" s="2">
        <v>26</v>
      </c>
      <c r="B27" t="s">
        <v>4404</v>
      </c>
      <c r="C27" t="s">
        <v>4405</v>
      </c>
      <c r="D27" s="2">
        <v>10</v>
      </c>
      <c r="E27" s="2">
        <v>45</v>
      </c>
      <c r="F27" s="3" t="str">
        <f>HYPERLINK("http://www.sah.co.rs/tx3-rd2a.html?___store=serbian"," Pogledajte proizvod na sajtu -&gt;")</f>
        <v> Pogledajte proizvod na sajtu -&gt;</v>
      </c>
    </row>
    <row r="28" spans="1:6" ht="12.75">
      <c r="A28" s="2">
        <v>27</v>
      </c>
      <c r="B28" t="s">
        <v>4406</v>
      </c>
      <c r="C28" t="s">
        <v>4407</v>
      </c>
      <c r="D28" s="2">
        <v>8</v>
      </c>
      <c r="E28" s="2">
        <v>45</v>
      </c>
      <c r="F28" s="3" t="str">
        <f>HYPERLINK("http://www.sah.co.rs/tx3-e24.html?___store=serbian"," Pogledajte proizvod na sajtu -&gt;")</f>
        <v> Pogledajte proizvod na sajtu -&gt;</v>
      </c>
    </row>
    <row r="29" spans="1:6" ht="12.75">
      <c r="A29" s="2">
        <v>28</v>
      </c>
      <c r="B29" t="s">
        <v>4408</v>
      </c>
      <c r="C29" t="s">
        <v>4409</v>
      </c>
      <c r="D29" s="2">
        <v>12</v>
      </c>
      <c r="E29" s="2">
        <v>62</v>
      </c>
      <c r="F29" s="3" t="str">
        <f>HYPERLINK("http://www.sah.co.rs/tx3-h25.html?___store=serbian"," Pogledajte proizvod na sajtu -&gt;")</f>
        <v> Pogledajte proizvod na sajtu -&gt;</v>
      </c>
    </row>
    <row r="30" spans="1:6" ht="12.75">
      <c r="A30" s="2">
        <v>29</v>
      </c>
      <c r="B30" t="s">
        <v>4410</v>
      </c>
      <c r="C30" t="s">
        <v>4411</v>
      </c>
      <c r="D30" s="2">
        <v>11</v>
      </c>
      <c r="E30" s="2">
        <v>52</v>
      </c>
      <c r="F30" s="3" t="str">
        <f>HYPERLINK("http://www.sah.co.rs/tx3-s22.html?___store=serbian"," Pogledajte proizvod na sajtu -&gt;")</f>
        <v> Pogledajte proizvod na sajtu -&gt;</v>
      </c>
    </row>
    <row r="31" spans="1:6" ht="12.75">
      <c r="A31" s="2">
        <v>30</v>
      </c>
      <c r="B31" t="s">
        <v>4412</v>
      </c>
      <c r="C31" t="s">
        <v>4413</v>
      </c>
      <c r="D31" s="2">
        <v>9</v>
      </c>
      <c r="E31" s="2">
        <v>80</v>
      </c>
      <c r="F31" s="3" t="str">
        <f>HYPERLINK("http://www.sah.co.rs/xmtd-jk208.html?___store=serbian"," Pogledajte proizvod na sajtu -&gt;")</f>
        <v> Pogledajte proizvod na sajtu -&gt;</v>
      </c>
    </row>
    <row r="32" spans="1:6" ht="12.75">
      <c r="A32" s="2">
        <v>31</v>
      </c>
      <c r="B32" t="s">
        <v>4414</v>
      </c>
      <c r="C32" t="s">
        <v>4413</v>
      </c>
      <c r="D32" s="2">
        <v>31</v>
      </c>
      <c r="E32" s="2">
        <v>80</v>
      </c>
      <c r="F32" s="3" t="str">
        <f>HYPERLINK("http://www.sah.co.rs/xmta-jk208.html?___store=serbian"," Pogledajte proizvod na sajtu -&gt;")</f>
        <v> Pogledajte proizvod na sajtu -&gt;</v>
      </c>
    </row>
    <row r="33" spans="1:6" ht="12.75">
      <c r="A33" s="2">
        <v>32</v>
      </c>
      <c r="B33" t="s">
        <v>4415</v>
      </c>
      <c r="C33" t="s">
        <v>4416</v>
      </c>
      <c r="D33" s="2">
        <v>17</v>
      </c>
      <c r="E33" s="2">
        <v>120</v>
      </c>
      <c r="F33" s="3" t="str">
        <f>HYPERLINK("http://www.sah.co.rs/xmta-jk408.html?___store=serbian"," Pogledajte proizvod na sajtu -&gt;")</f>
        <v> Pogledajte proizvod na sajtu -&gt;</v>
      </c>
    </row>
    <row r="34" spans="1:6" ht="12.75">
      <c r="A34" s="2">
        <v>33</v>
      </c>
      <c r="B34" t="s">
        <v>4417</v>
      </c>
      <c r="C34" t="s">
        <v>4418</v>
      </c>
      <c r="D34" s="2">
        <v>8</v>
      </c>
      <c r="E34" s="2">
        <v>150</v>
      </c>
      <c r="F34" s="3" t="str">
        <f>HYPERLINK("http://www.sah.co.rs/xmta-jk408k.html?___store=serbian"," Pogledajte proizvod na sajtu -&gt;")</f>
        <v> Pogledajte proizvod na sajtu -&gt;</v>
      </c>
    </row>
    <row r="35" spans="1:6" ht="12.75">
      <c r="A35" s="2">
        <v>34</v>
      </c>
      <c r="B35" t="s">
        <v>4419</v>
      </c>
      <c r="C35" t="s">
        <v>4420</v>
      </c>
      <c r="D35" s="2">
        <v>47</v>
      </c>
      <c r="E35" s="2">
        <v>25</v>
      </c>
      <c r="F35" s="3" t="str">
        <f>HYPERLINK("http://www.sah.co.rs/dhc1w-pt-0-100-c.html?___store=serbian"," Pogledajte proizvod na sajtu -&gt;")</f>
        <v> Pogledajte proizvod na sajtu -&gt;</v>
      </c>
    </row>
    <row r="36" spans="1:6" ht="12.75">
      <c r="A36" s="2">
        <v>35</v>
      </c>
      <c r="B36" t="s">
        <v>4421</v>
      </c>
      <c r="C36" t="s">
        <v>4422</v>
      </c>
      <c r="D36" s="2">
        <v>44</v>
      </c>
      <c r="E36" s="2">
        <v>25</v>
      </c>
      <c r="F36" s="3" t="str">
        <f>HYPERLINK("http://www.sah.co.rs/dhc1w-pt-0-399-c.html?___store=serbian"," Pogledajte proizvod na sajtu -&gt;")</f>
        <v> Pogledajte proizvod na sajtu -&gt;</v>
      </c>
    </row>
    <row r="37" spans="1:6" ht="12.75">
      <c r="A37" s="2">
        <v>36</v>
      </c>
      <c r="B37" t="s">
        <v>4423</v>
      </c>
      <c r="C37" t="s">
        <v>4424</v>
      </c>
      <c r="D37" s="2">
        <v>63</v>
      </c>
      <c r="E37" s="2">
        <v>60</v>
      </c>
      <c r="F37" s="3" t="str">
        <f>HYPERLINK("http://www.sah.co.rs/e5cwl-r1p.html?___store=serbian"," Pogledajte proizvod na sajtu -&gt;")</f>
        <v> Pogledajte proizvod na sajtu -&gt;</v>
      </c>
    </row>
    <row r="38" spans="1:6" ht="12.75">
      <c r="A38" s="2">
        <v>37</v>
      </c>
      <c r="B38" t="s">
        <v>4425</v>
      </c>
      <c r="C38" t="s">
        <v>4426</v>
      </c>
      <c r="D38" s="2">
        <v>70</v>
      </c>
      <c r="E38" s="2">
        <v>50</v>
      </c>
      <c r="F38" s="3" t="str">
        <f>HYPERLINK("http://www.sah.co.rs/e5csl-rp.html?___store=serbian"," Pogledajte proizvod na sajtu -&gt;")</f>
        <v> Pogledajte proizvod na sajtu -&gt;</v>
      </c>
    </row>
    <row r="39" spans="1:6" ht="12.75">
      <c r="A39" s="2">
        <v>38</v>
      </c>
      <c r="B39" t="s">
        <v>4427</v>
      </c>
      <c r="C39" t="s">
        <v>4428</v>
      </c>
      <c r="D39" s="2">
        <v>20</v>
      </c>
      <c r="E39" s="2">
        <v>100</v>
      </c>
      <c r="F39" s="3" t="str">
        <f>HYPERLINK("http://www.sah.co.rs/e5ec-rr2asm-800.html?___store=serbian"," Pogledajte proizvod na sajtu -&gt;")</f>
        <v> Pogledajte proizvod na sajtu -&gt;</v>
      </c>
    </row>
    <row r="40" spans="1:6" ht="12.75">
      <c r="A40" s="2">
        <v>39</v>
      </c>
      <c r="B40" t="s">
        <v>4429</v>
      </c>
      <c r="C40" t="s">
        <v>4430</v>
      </c>
      <c r="D40" s="2">
        <v>34</v>
      </c>
      <c r="E40" s="2">
        <v>90</v>
      </c>
      <c r="F40" s="3" t="str">
        <f>HYPERLINK("http://www.sah.co.rs/e5cc-rx2asm-880.html?___store=serbian"," Pogledajte proizvod na sajtu -&gt;")</f>
        <v> Pogledajte proizvod na sajtu -&gt;</v>
      </c>
    </row>
    <row r="41" spans="1:6" ht="12.75">
      <c r="A41" s="2">
        <v>40</v>
      </c>
      <c r="B41" t="s">
        <v>4431</v>
      </c>
      <c r="C41" t="s">
        <v>4432</v>
      </c>
      <c r="D41" s="2">
        <v>42</v>
      </c>
      <c r="E41" s="2">
        <v>28</v>
      </c>
      <c r="F41" s="3" t="str">
        <f>HYPERLINK("http://www.sah.co.rs/rex-c900.html?___store=serbian"," Pogledajte proizvod na sajtu -&gt;")</f>
        <v> Pogledajte proizvod na sajtu -&gt;</v>
      </c>
    </row>
    <row r="42" spans="1:6" ht="12.75">
      <c r="A42" s="2">
        <v>41</v>
      </c>
      <c r="B42" t="s">
        <v>4433</v>
      </c>
      <c r="C42" t="s">
        <v>4432</v>
      </c>
      <c r="D42" s="2">
        <v>35</v>
      </c>
      <c r="E42" s="2">
        <v>28</v>
      </c>
      <c r="F42" s="3" t="str">
        <f>HYPERLINK("http://www.sah.co.rs/rex-c400.html?___store=serbian"," Pogledajte proizvod na sajtu -&gt;")</f>
        <v> Pogledajte proizvod na sajtu -&gt;</v>
      </c>
    </row>
    <row r="43" spans="1:6" ht="12.75">
      <c r="A43" s="2">
        <v>42</v>
      </c>
      <c r="B43" t="s">
        <v>4434</v>
      </c>
      <c r="C43" t="s">
        <v>4435</v>
      </c>
      <c r="D43" s="2">
        <v>77</v>
      </c>
      <c r="E43" s="2">
        <v>18</v>
      </c>
      <c r="F43" s="3" t="str">
        <f>HYPERLINK("http://www.sah.co.rs/e5c2-j.html?___store=serbian"," Pogledajte proizvod na sajtu -&gt;")</f>
        <v> Pogledajte proizvod na sajtu -&gt;</v>
      </c>
    </row>
    <row r="44" spans="1:6" ht="12.75">
      <c r="A44" s="2">
        <v>43</v>
      </c>
      <c r="B44" t="s">
        <v>4436</v>
      </c>
      <c r="C44" t="s">
        <v>4437</v>
      </c>
      <c r="D44" s="2">
        <v>101</v>
      </c>
      <c r="E44" s="2">
        <v>25</v>
      </c>
      <c r="F44" s="3" t="str">
        <f>HYPERLINK("http://www.sah.co.rs/dhc1w-j.html?___store=serbian"," Pogledajte proizvod na sajtu -&gt;")</f>
        <v> Pogledajte proizvod na sajtu -&gt;</v>
      </c>
    </row>
    <row r="45" spans="1:6" ht="12.75">
      <c r="A45" s="2">
        <v>44</v>
      </c>
      <c r="B45" t="s">
        <v>4438</v>
      </c>
      <c r="C45" t="s">
        <v>4439</v>
      </c>
      <c r="D45" s="2">
        <v>85</v>
      </c>
      <c r="E45" s="2">
        <v>28</v>
      </c>
      <c r="F45" s="3" t="str">
        <f>HYPERLINK("http://www.sah.co.rs/rex-c100.html?___store=serbian"," Pogledajte proizvod na sajtu -&gt;")</f>
        <v> Pogledajte proizvod na sajtu -&gt;</v>
      </c>
    </row>
    <row r="46" spans="1:6" ht="12.75">
      <c r="A46" s="2">
        <v>45</v>
      </c>
      <c r="B46" t="s">
        <v>4440</v>
      </c>
      <c r="C46" t="s">
        <v>4441</v>
      </c>
      <c r="D46" s="2">
        <v>56</v>
      </c>
      <c r="E46" s="2">
        <v>60</v>
      </c>
      <c r="F46" s="3" t="str">
        <f>HYPERLINK("http://www.sah.co.rs/e5cwl-r1tc.html?___store=serbian"," Pogledajte proizvod na sajtu -&gt;")</f>
        <v> Pogledajte proizvod na sajtu -&gt;</v>
      </c>
    </row>
    <row r="47" spans="1:6" ht="12.75">
      <c r="A47" s="2">
        <v>46</v>
      </c>
      <c r="B47" t="s">
        <v>4442</v>
      </c>
      <c r="C47" t="s">
        <v>4443</v>
      </c>
      <c r="D47" s="2">
        <v>95</v>
      </c>
      <c r="E47" s="2">
        <v>50</v>
      </c>
      <c r="F47" s="3" t="str">
        <f>HYPERLINK("http://www.sah.co.rs/e5csl-rtc.html?___store=serbian"," Pogledajte proizvod na sajtu -&gt;")</f>
        <v> Pogledajte proizvod na sajtu -&gt;</v>
      </c>
    </row>
    <row r="48" spans="1:6" ht="12.75">
      <c r="A48" s="2">
        <v>47</v>
      </c>
      <c r="B48" t="s">
        <v>4444</v>
      </c>
      <c r="C48" t="s">
        <v>4445</v>
      </c>
      <c r="D48" s="2">
        <v>97</v>
      </c>
      <c r="E48" s="2">
        <v>50</v>
      </c>
      <c r="F48" s="3" t="str">
        <f>HYPERLINK("http://www.sah.co.rs/e5csl-qtc.html?___store=serbian"," Pogledajte proizvod na sajtu -&gt;")</f>
        <v> Pogledajte proizvod na sajtu -&gt;</v>
      </c>
    </row>
    <row r="49" spans="1:6" ht="12.75">
      <c r="A49" s="2">
        <v>48</v>
      </c>
      <c r="B49" t="s">
        <v>4446</v>
      </c>
      <c r="C49" t="s">
        <v>4447</v>
      </c>
      <c r="D49" s="2">
        <v>31</v>
      </c>
      <c r="E49" s="2">
        <v>50</v>
      </c>
      <c r="F49" s="3" t="str">
        <f>HYPERLINK("http://www.sah.co.rs/xmtg-938b.html?___store=serbian"," Pogledajte proizvod na sajtu -&gt;")</f>
        <v> Pogledajte proizvod na sajtu -&gt;</v>
      </c>
    </row>
    <row r="50" spans="1:6" ht="12.75">
      <c r="A50" s="2">
        <v>49</v>
      </c>
      <c r="B50" t="s">
        <v>4448</v>
      </c>
      <c r="C50" t="s">
        <v>4449</v>
      </c>
      <c r="D50" s="2">
        <v>56</v>
      </c>
      <c r="E50" s="2">
        <v>70</v>
      </c>
      <c r="F50" s="3" t="str">
        <f>HYPERLINK("http://www.sah.co.rs/xmtg-938ck.html?___store=serbian"," Pogledajte proizvod na sajtu -&gt;")</f>
        <v> Pogledajte proizvod na sajtu -&gt;</v>
      </c>
    </row>
    <row r="51" spans="1:6" ht="12.75">
      <c r="A51" s="2">
        <v>50</v>
      </c>
      <c r="B51" t="s">
        <v>4450</v>
      </c>
      <c r="C51" t="s">
        <v>4451</v>
      </c>
      <c r="D51" s="2">
        <v>14</v>
      </c>
      <c r="E51" s="2">
        <v>52.5</v>
      </c>
      <c r="F51" s="3" t="str">
        <f>HYPERLINK("http://www.sah.co.rs/xmtf-918b.html?___store=serbian"," Pogledajte proizvod na sajtu -&gt;")</f>
        <v> Pogledajte proizvod na sajtu -&gt;</v>
      </c>
    </row>
    <row r="52" spans="1:6" ht="12.75">
      <c r="A52" s="2">
        <v>51</v>
      </c>
      <c r="B52" t="s">
        <v>4452</v>
      </c>
      <c r="C52" t="s">
        <v>4453</v>
      </c>
      <c r="D52" s="2">
        <v>64</v>
      </c>
      <c r="E52" s="2">
        <v>52.5</v>
      </c>
      <c r="F52" s="3" t="str">
        <f>HYPERLINK("http://www.sah.co.rs/xmtf-938b.html?___store=serbian"," Pogledajte proizvod na sajtu -&gt;")</f>
        <v> Pogledajte proizvod na sajtu -&gt;</v>
      </c>
    </row>
    <row r="53" spans="1:6" ht="12.75">
      <c r="A53" s="2">
        <v>52</v>
      </c>
      <c r="B53" t="s">
        <v>4454</v>
      </c>
      <c r="C53" t="s">
        <v>4455</v>
      </c>
      <c r="D53" s="2">
        <v>34</v>
      </c>
      <c r="E53" s="2">
        <v>35</v>
      </c>
      <c r="F53" s="3" t="str">
        <f>HYPERLINK("http://www.sah.co.rs/fc-318-12vdc.html?___store=serbian"," Pogledajte proizvod na sajtu -&gt;")</f>
        <v> Pogledajte proizvod na sajtu -&gt;</v>
      </c>
    </row>
    <row r="54" spans="1:6" ht="12.75">
      <c r="A54" s="2">
        <v>53</v>
      </c>
      <c r="B54" t="s">
        <v>4456</v>
      </c>
      <c r="C54" t="s">
        <v>4457</v>
      </c>
      <c r="D54" s="2">
        <v>77</v>
      </c>
      <c r="E54" s="2">
        <v>40</v>
      </c>
      <c r="F54" s="3" t="str">
        <f>HYPERLINK("http://www.sah.co.rs/xmtd-618.html?___store=serbian"," Pogledajte proizvod na sajtu -&gt;")</f>
        <v> Pogledajte proizvod na sajtu -&gt;</v>
      </c>
    </row>
    <row r="55" spans="1:6" ht="12.75">
      <c r="A55" s="2">
        <v>54</v>
      </c>
      <c r="B55" t="s">
        <v>4458</v>
      </c>
      <c r="C55" t="s">
        <v>4457</v>
      </c>
      <c r="D55" s="2">
        <v>32</v>
      </c>
      <c r="E55" s="2">
        <v>40</v>
      </c>
      <c r="F55" s="3" t="str">
        <f>HYPERLINK("http://www.sah.co.rs/xmta-618.html?___store=serbian"," Pogledajte proizvod na sajtu -&gt;")</f>
        <v> Pogledajte proizvod na sajtu -&gt;</v>
      </c>
    </row>
    <row r="56" spans="1:6" ht="12.75">
      <c r="A56" s="2">
        <v>55</v>
      </c>
      <c r="B56" t="s">
        <v>4459</v>
      </c>
      <c r="C56" t="s">
        <v>4457</v>
      </c>
      <c r="D56" s="2">
        <v>18</v>
      </c>
      <c r="E56" s="2">
        <v>50</v>
      </c>
      <c r="F56" s="3" t="str">
        <f>HYPERLINK("http://www.sah.co.rs/ai508-4-rb10.html?___store=serbian"," Pogledajte proizvod na sajtu -&gt;")</f>
        <v> Pogledajte proizvod na sajtu -&gt;</v>
      </c>
    </row>
    <row r="57" spans="1:6" ht="12.75">
      <c r="A57" s="2">
        <v>56</v>
      </c>
      <c r="B57" t="s">
        <v>4460</v>
      </c>
      <c r="C57" t="s">
        <v>4457</v>
      </c>
      <c r="D57" s="2">
        <v>170</v>
      </c>
      <c r="E57" s="2">
        <v>35</v>
      </c>
      <c r="F57" s="3" t="str">
        <f>HYPERLINK("http://www.sah.co.rs/fc-318-220vac.html?___store=serbian"," Pogledajte proizvod na sajtu -&gt;")</f>
        <v> Pogledajte proizvod na sajtu -&gt;</v>
      </c>
    </row>
    <row r="58" spans="1:6" ht="12.75">
      <c r="A58" s="2">
        <v>57</v>
      </c>
      <c r="B58" t="s">
        <v>4461</v>
      </c>
      <c r="C58" t="s">
        <v>4457</v>
      </c>
      <c r="D58" s="2">
        <v>171</v>
      </c>
      <c r="E58" s="2">
        <v>32</v>
      </c>
      <c r="F58" s="3" t="str">
        <f>HYPERLINK("http://www.sah.co.rs/xmtg-318.html?___store=serbian"," Pogledajte proizvod na sajtu -&gt;")</f>
        <v> Pogledajte proizvod na sajtu -&gt;</v>
      </c>
    </row>
    <row r="59" spans="1:6" ht="12.75">
      <c r="A59" s="2">
        <v>58</v>
      </c>
      <c r="B59" t="s">
        <v>4462</v>
      </c>
      <c r="C59" t="s">
        <v>4457</v>
      </c>
      <c r="D59" s="2">
        <v>225</v>
      </c>
      <c r="E59" s="2">
        <v>38</v>
      </c>
      <c r="F59" s="3" t="str">
        <f>HYPERLINK("http://www.sah.co.rs/xmtg-618.html?___store=serbian"," Pogledajte proizvod na sajtu -&gt;")</f>
        <v> Pogledajte proizvod na sajtu -&gt;</v>
      </c>
    </row>
    <row r="60" spans="1:6" ht="12.75">
      <c r="A60" s="2">
        <v>59</v>
      </c>
      <c r="B60" t="s">
        <v>4463</v>
      </c>
      <c r="C60" t="s">
        <v>4457</v>
      </c>
      <c r="D60" s="2">
        <v>30</v>
      </c>
      <c r="E60" s="2">
        <v>37</v>
      </c>
      <c r="F60" s="3" t="str">
        <f>HYPERLINK("http://www.sah.co.rs/xmtf-318.html?___store=serbian"," Pogledajte proizvod na sajtu -&gt;")</f>
        <v> Pogledajte proizvod na sajtu -&gt;</v>
      </c>
    </row>
    <row r="61" spans="1:6" ht="12.75">
      <c r="A61" s="2">
        <v>60</v>
      </c>
      <c r="B61" t="s">
        <v>4464</v>
      </c>
      <c r="C61" t="s">
        <v>4457</v>
      </c>
      <c r="D61" s="2">
        <v>44</v>
      </c>
      <c r="E61" s="2">
        <v>40</v>
      </c>
      <c r="F61" s="3" t="str">
        <f>HYPERLINK("http://www.sah.co.rs/xmte-618.html?___store=serbian"," Pogledajte proizvod na sajtu -&gt;")</f>
        <v> Pogledajte proizvod na sajtu -&gt;</v>
      </c>
    </row>
    <row r="62" spans="1:6" ht="12.75">
      <c r="A62" s="2">
        <v>61</v>
      </c>
      <c r="B62" t="s">
        <v>4465</v>
      </c>
      <c r="C62" t="s">
        <v>4457</v>
      </c>
      <c r="D62" s="2">
        <v>50</v>
      </c>
      <c r="E62" s="2">
        <v>35</v>
      </c>
      <c r="F62" s="3" t="str">
        <f>HYPERLINK("http://www.sah.co.rs/xmtl-308.html?___store=serbian"," Pogledajte proizvod na sajtu -&gt;")</f>
        <v> Pogledajte proizvod na sajtu -&gt;</v>
      </c>
    </row>
    <row r="63" spans="1:6" ht="12.75">
      <c r="A63" s="2">
        <v>62</v>
      </c>
      <c r="B63" t="s">
        <v>4466</v>
      </c>
      <c r="C63" t="s">
        <v>4457</v>
      </c>
      <c r="D63" s="2">
        <v>81</v>
      </c>
      <c r="E63" s="2">
        <v>37</v>
      </c>
      <c r="F63" s="3" t="str">
        <f>HYPERLINK("http://www.sah.co.rs/xmtf-618.html?___store=serbian"," Pogledajte proizvod na sajtu -&gt;")</f>
        <v> Pogledajte proizvod na sajtu -&gt;</v>
      </c>
    </row>
    <row r="64" spans="1:6" ht="12.75">
      <c r="A64" s="2">
        <v>63</v>
      </c>
      <c r="B64" t="s">
        <v>4467</v>
      </c>
      <c r="C64" t="s">
        <v>4457</v>
      </c>
      <c r="D64" s="2">
        <v>10</v>
      </c>
      <c r="E64" s="2">
        <v>32</v>
      </c>
      <c r="F64" s="3" t="str">
        <f>HYPERLINK("http://www.sah.co.rs/xmtk-318.html?___store=serbian"," Pogledajte proizvod na sajtu -&gt;")</f>
        <v> Pogledajte proizvod na sajtu -&gt;</v>
      </c>
    </row>
    <row r="65" spans="1:6" ht="12.75">
      <c r="A65" s="2">
        <v>64</v>
      </c>
      <c r="B65" t="s">
        <v>4468</v>
      </c>
      <c r="C65" t="s">
        <v>4457</v>
      </c>
      <c r="D65" s="2">
        <v>7</v>
      </c>
      <c r="E65" s="2">
        <v>62.5</v>
      </c>
      <c r="F65" s="3" t="str">
        <f>HYPERLINK("http://www.sah.co.rs/tr6-r3.html?___store=serbian"," Pogledajte proizvod na sajtu -&gt;")</f>
        <v> Pogledajte proizvod na sajtu -&gt;</v>
      </c>
    </row>
    <row r="66" spans="1:6" ht="12.75">
      <c r="A66" s="2">
        <v>65</v>
      </c>
      <c r="B66" t="s">
        <v>4469</v>
      </c>
      <c r="C66" t="s">
        <v>4470</v>
      </c>
      <c r="D66" s="2">
        <v>15</v>
      </c>
      <c r="E66" s="2">
        <v>32</v>
      </c>
      <c r="F66" s="3" t="str">
        <f>HYPERLINK("http://www.sah.co.rs/xmtk-318-24v.html?___store=serbian"," Pogledajte proizvod na sajtu -&gt;")</f>
        <v> Pogledajte proizvod na sajtu -&gt;</v>
      </c>
    </row>
    <row r="67" spans="1:6" ht="12.75">
      <c r="A67" s="2">
        <v>66</v>
      </c>
      <c r="B67" t="s">
        <v>4471</v>
      </c>
      <c r="C67" t="s">
        <v>4470</v>
      </c>
      <c r="D67" s="2">
        <v>22</v>
      </c>
      <c r="E67" s="2">
        <v>35</v>
      </c>
      <c r="F67" s="3" t="str">
        <f>HYPERLINK("http://www.sah.co.rs/xmtl-308-24v.html?___store=serbian"," Pogledajte proizvod na sajtu -&gt;")</f>
        <v> Pogledajte proizvod na sajtu -&gt;</v>
      </c>
    </row>
    <row r="68" spans="1:6" ht="12.75">
      <c r="A68" s="2">
        <v>67</v>
      </c>
      <c r="B68" t="s">
        <v>4472</v>
      </c>
      <c r="C68" t="s">
        <v>4473</v>
      </c>
      <c r="D68" s="2">
        <v>9</v>
      </c>
      <c r="E68" s="2">
        <v>60</v>
      </c>
      <c r="F68" s="3" t="str">
        <f>HYPERLINK("http://www.sah.co.rs/xmt-918k.html?___store=serbian"," Pogledajte proizvod na sajtu -&gt;")</f>
        <v> Pogledajte proizvod na sajtu -&gt;</v>
      </c>
    </row>
    <row r="69" spans="1:6" ht="12.75">
      <c r="A69" s="2">
        <v>68</v>
      </c>
      <c r="B69" t="s">
        <v>4474</v>
      </c>
      <c r="C69" t="s">
        <v>4473</v>
      </c>
      <c r="D69" s="2">
        <v>10</v>
      </c>
      <c r="E69" s="2">
        <v>60</v>
      </c>
      <c r="F69" s="3" t="str">
        <f>HYPERLINK("http://www.sah.co.rs/xmt-818k.html?___store=serbian"," Pogledajte proizvod na sajtu -&gt;")</f>
        <v> Pogledajte proizvod na sajtu -&gt;</v>
      </c>
    </row>
    <row r="70" spans="1:6" ht="12.75">
      <c r="A70" s="2">
        <v>69</v>
      </c>
      <c r="B70" t="s">
        <v>4475</v>
      </c>
      <c r="C70" t="s">
        <v>4476</v>
      </c>
      <c r="D70" s="2">
        <v>33</v>
      </c>
      <c r="E70" s="2">
        <v>50</v>
      </c>
      <c r="F70" s="3" t="str">
        <f>HYPERLINK("http://www.sah.co.rs/xmta-838.html?___store=serbian"," Pogledajte proizvod na sajtu -&gt;")</f>
        <v> Pogledajte proizvod na sajtu -&gt;</v>
      </c>
    </row>
    <row r="71" spans="1:6" ht="12.75">
      <c r="A71" s="2">
        <v>70</v>
      </c>
      <c r="B71" t="s">
        <v>4477</v>
      </c>
      <c r="C71" t="s">
        <v>4476</v>
      </c>
      <c r="D71" s="2">
        <v>2</v>
      </c>
      <c r="E71" s="2">
        <v>55</v>
      </c>
      <c r="F71" s="3" t="str">
        <f>HYPERLINK("http://www.sah.co.rs/ai508-8-rc10.html?___store=serbian"," Pogledajte proizvod na sajtu -&gt;")</f>
        <v> Pogledajte proizvod na sajtu -&gt;</v>
      </c>
    </row>
    <row r="72" spans="1:6" ht="12.75">
      <c r="A72" s="2">
        <v>71</v>
      </c>
      <c r="B72" t="s">
        <v>4478</v>
      </c>
      <c r="C72" t="s">
        <v>4476</v>
      </c>
      <c r="D72" s="2">
        <v>30</v>
      </c>
      <c r="E72" s="2">
        <v>45</v>
      </c>
      <c r="F72" s="3" t="str">
        <f>HYPERLINK("http://www.sah.co.rs/xmtd-938.html?___store=serbian"," Pogledajte proizvod na sajtu -&gt;")</f>
        <v> Pogledajte proizvod na sajtu -&gt;</v>
      </c>
    </row>
    <row r="73" spans="1:6" ht="12.75">
      <c r="A73" s="2">
        <v>72</v>
      </c>
      <c r="B73" t="s">
        <v>4479</v>
      </c>
      <c r="C73" t="s">
        <v>4476</v>
      </c>
      <c r="D73" s="2">
        <v>8</v>
      </c>
      <c r="E73" s="2">
        <v>55</v>
      </c>
      <c r="F73" s="3" t="str">
        <f>HYPERLINK("http://www.sah.co.rs/tp7-rc10.html?___store=serbian"," Pogledajte proizvod na sajtu -&gt;")</f>
        <v> Pogledajte proizvod na sajtu -&gt;</v>
      </c>
    </row>
    <row r="74" spans="1:6" ht="12.75">
      <c r="A74" s="2">
        <v>73</v>
      </c>
      <c r="B74" t="s">
        <v>4480</v>
      </c>
      <c r="C74" t="s">
        <v>4476</v>
      </c>
      <c r="D74" s="2">
        <v>13</v>
      </c>
      <c r="E74" s="2">
        <v>45</v>
      </c>
      <c r="F74" s="3" t="str">
        <f>HYPERLINK("http://www.sah.co.rs/xmtg-838.html?___store=serbian"," Pogledajte proizvod na sajtu -&gt;")</f>
        <v> Pogledajte proizvod na sajtu -&gt;</v>
      </c>
    </row>
    <row r="75" spans="1:6" ht="12.75">
      <c r="A75" s="2">
        <v>74</v>
      </c>
      <c r="B75" t="s">
        <v>4481</v>
      </c>
      <c r="C75" t="s">
        <v>4476</v>
      </c>
      <c r="D75" s="2">
        <v>71</v>
      </c>
      <c r="E75" s="2">
        <v>62.5</v>
      </c>
      <c r="F75" s="3" t="str">
        <f>HYPERLINK("http://www.sah.co.rs/tr9-r3.html?___store=serbian"," Pogledajte proizvod na sajtu -&gt;")</f>
        <v> Pogledajte proizvod na sajtu -&gt;</v>
      </c>
    </row>
    <row r="76" spans="1:6" ht="12.75">
      <c r="A76" s="2">
        <v>75</v>
      </c>
      <c r="B76" t="s">
        <v>4482</v>
      </c>
      <c r="C76" t="s">
        <v>4476</v>
      </c>
      <c r="D76" s="2">
        <v>19</v>
      </c>
      <c r="E76" s="2">
        <v>47.5</v>
      </c>
      <c r="F76" s="3" t="str">
        <f>HYPERLINK("http://www.sah.co.rs/xmte-838.html?___store=serbian"," Pogledajte proizvod na sajtu -&gt;")</f>
        <v> Pogledajte proizvod na sajtu -&gt;</v>
      </c>
    </row>
    <row r="77" spans="1:6" ht="12.75">
      <c r="A77" s="2">
        <v>76</v>
      </c>
      <c r="B77" t="s">
        <v>4483</v>
      </c>
      <c r="C77" t="s">
        <v>4476</v>
      </c>
      <c r="D77" s="2">
        <v>35</v>
      </c>
      <c r="E77" s="2">
        <v>45</v>
      </c>
      <c r="F77" s="3" t="str">
        <f>HYPERLINK("http://www.sah.co.rs/xmte-938.html?___store=serbian"," Pogledajte proizvod na sajtu -&gt;")</f>
        <v> Pogledajte proizvod na sajtu -&gt;</v>
      </c>
    </row>
    <row r="78" spans="1:6" ht="12.75">
      <c r="A78" s="2">
        <v>77</v>
      </c>
      <c r="B78" t="s">
        <v>4484</v>
      </c>
      <c r="C78" t="s">
        <v>4476</v>
      </c>
      <c r="D78" s="2">
        <v>29</v>
      </c>
      <c r="E78" s="2">
        <v>55</v>
      </c>
      <c r="F78" s="3" t="str">
        <f>HYPERLINK("http://www.sah.co.rs/tp8-rc10.html?___store=serbian"," Pogledajte proizvod na sajtu -&gt;")</f>
        <v> Pogledajte proizvod na sajtu -&gt;</v>
      </c>
    </row>
    <row r="79" spans="1:6" ht="12.75">
      <c r="A79" s="2">
        <v>78</v>
      </c>
      <c r="B79" t="s">
        <v>4485</v>
      </c>
      <c r="C79" t="s">
        <v>4476</v>
      </c>
      <c r="D79" s="2">
        <v>13</v>
      </c>
      <c r="E79" s="2">
        <v>60</v>
      </c>
      <c r="F79" s="3" t="str">
        <f>HYPERLINK("http://www.sah.co.rs/ai508-9-rc10.html?___store=serbian"," Pogledajte proizvod na sajtu -&gt;")</f>
        <v> Pogledajte proizvod na sajtu -&gt;</v>
      </c>
    </row>
    <row r="80" spans="1:6" ht="12.75">
      <c r="A80" s="2">
        <v>79</v>
      </c>
      <c r="B80" t="s">
        <v>4486</v>
      </c>
      <c r="C80" t="s">
        <v>4476</v>
      </c>
      <c r="D80" s="2">
        <v>25</v>
      </c>
      <c r="E80" s="2">
        <v>47.5</v>
      </c>
      <c r="F80" s="3" t="str">
        <f>HYPERLINK("http://www.sah.co.rs/xmtf-838.html?___store=serbian"," Pogledajte proizvod na sajtu -&gt;")</f>
        <v> Pogledajte proizvod na sajtu -&gt;</v>
      </c>
    </row>
    <row r="81" spans="1:6" ht="12.75">
      <c r="A81" s="2">
        <v>80</v>
      </c>
      <c r="B81" t="s">
        <v>4487</v>
      </c>
      <c r="C81" t="s">
        <v>4476</v>
      </c>
      <c r="D81" s="2">
        <v>140</v>
      </c>
      <c r="E81" s="2">
        <v>45</v>
      </c>
      <c r="F81" s="3" t="str">
        <f>HYPERLINK("http://www.sah.co.rs/xmtf-938.html?___store=serbian"," Pogledajte proizvod na sajtu -&gt;")</f>
        <v> Pogledajte proizvod na sajtu -&gt;</v>
      </c>
    </row>
    <row r="82" spans="1:6" ht="12.75">
      <c r="A82" s="2">
        <v>81</v>
      </c>
      <c r="B82" t="s">
        <v>4488</v>
      </c>
      <c r="C82" t="s">
        <v>4476</v>
      </c>
      <c r="D82" s="2">
        <v>84</v>
      </c>
      <c r="E82" s="2">
        <v>42.5</v>
      </c>
      <c r="F82" s="3" t="str">
        <f>HYPERLINK("http://www.sah.co.rs/xmtg-938.html?___store=serbian"," Pogledajte proizvod na sajtu -&gt;")</f>
        <v> Pogledajte proizvod na sajtu -&gt;</v>
      </c>
    </row>
    <row r="83" spans="1:6" ht="12.75">
      <c r="A83" s="2">
        <v>82</v>
      </c>
      <c r="B83" t="s">
        <v>4489</v>
      </c>
      <c r="C83" t="s">
        <v>4476</v>
      </c>
      <c r="D83" s="2">
        <v>16</v>
      </c>
      <c r="E83" s="2">
        <v>60</v>
      </c>
      <c r="F83" s="3" t="str">
        <f>HYPERLINK("http://www.sah.co.rs/tp9-rc10.html?___store=serbian"," Pogledajte proizvod na sajtu -&gt;")</f>
        <v> Pogledajte proizvod na sajtu -&gt;</v>
      </c>
    </row>
    <row r="84" spans="1:6" ht="12.75">
      <c r="A84" s="2">
        <v>83</v>
      </c>
      <c r="B84" t="s">
        <v>4490</v>
      </c>
      <c r="C84" t="s">
        <v>4476</v>
      </c>
      <c r="D84" s="2">
        <v>12</v>
      </c>
      <c r="E84" s="2">
        <v>55</v>
      </c>
      <c r="F84" s="3" t="str">
        <f>HYPERLINK("http://www.sah.co.rs/ai508-7-rc10.html?___store=serbian"," Pogledajte proizvod na sajtu -&gt;")</f>
        <v> Pogledajte proizvod na sajtu -&gt;</v>
      </c>
    </row>
    <row r="85" spans="1:6" ht="12.75">
      <c r="A85" s="2">
        <v>84</v>
      </c>
      <c r="B85" t="s">
        <v>4491</v>
      </c>
      <c r="C85" t="s">
        <v>4476</v>
      </c>
      <c r="D85" s="2">
        <v>51</v>
      </c>
      <c r="E85" s="2">
        <v>50</v>
      </c>
      <c r="F85" s="3" t="str">
        <f>HYPERLINK("http://www.sah.co.rs/ai518-4-rc10.html?___store=serbian"," Pogledajte proizvod na sajtu -&gt;")</f>
        <v> Pogledajte proizvod na sajtu -&gt;</v>
      </c>
    </row>
    <row r="86" spans="1:6" ht="12.75">
      <c r="A86" s="2">
        <v>85</v>
      </c>
      <c r="B86" t="s">
        <v>4492</v>
      </c>
      <c r="C86" t="s">
        <v>4476</v>
      </c>
      <c r="D86" s="2">
        <v>121</v>
      </c>
      <c r="E86" s="2">
        <v>47.5</v>
      </c>
      <c r="F86" s="3" t="str">
        <f>HYPERLINK("http://www.sah.co.rs/xmta-938.html?___store=serbian"," Pogledajte proizvod na sajtu -&gt;")</f>
        <v> Pogledajte proizvod na sajtu -&gt;</v>
      </c>
    </row>
    <row r="87" spans="1:6" ht="12.75">
      <c r="A87" s="2">
        <v>86</v>
      </c>
      <c r="B87" t="s">
        <v>4493</v>
      </c>
      <c r="C87" t="s">
        <v>4494</v>
      </c>
      <c r="D87" s="2">
        <v>26</v>
      </c>
      <c r="E87" s="2">
        <v>45</v>
      </c>
      <c r="F87" s="3" t="str">
        <f>HYPERLINK("http://www.sah.co.rs/xmtf-938-24v.html?___store=serbian"," Pogledajte proizvod na sajtu -&gt;")</f>
        <v> Pogledajte proizvod na sajtu -&gt;</v>
      </c>
    </row>
    <row r="88" spans="1:6" ht="12.75">
      <c r="A88" s="2">
        <v>87</v>
      </c>
      <c r="B88" t="s">
        <v>4495</v>
      </c>
      <c r="C88" t="s">
        <v>4494</v>
      </c>
      <c r="D88" s="2">
        <v>30</v>
      </c>
      <c r="E88" s="2">
        <v>42.5</v>
      </c>
      <c r="F88" s="3" t="str">
        <f>HYPERLINK("http://www.sah.co.rs/xmtg-938-24v.html?___store=serbian"," Pogledajte proizvod na sajtu -&gt;")</f>
        <v> Pogledajte proizvod na sajtu -&gt;</v>
      </c>
    </row>
    <row r="89" spans="1:6" ht="12.75">
      <c r="A89" s="2">
        <v>88</v>
      </c>
      <c r="B89" t="s">
        <v>4496</v>
      </c>
      <c r="C89" t="s">
        <v>4494</v>
      </c>
      <c r="D89" s="2">
        <v>16</v>
      </c>
      <c r="E89" s="2">
        <v>45</v>
      </c>
      <c r="F89" s="3" t="str">
        <f>HYPERLINK("http://www.sah.co.rs/xmtg-838-24v.html?___store=serbian"," Pogledajte proizvod na sajtu -&gt;")</f>
        <v> Pogledajte proizvod na sajtu -&gt;</v>
      </c>
    </row>
    <row r="90" spans="1:6" ht="12.75">
      <c r="A90" s="2">
        <v>89</v>
      </c>
      <c r="B90" t="s">
        <v>4497</v>
      </c>
      <c r="C90" t="s">
        <v>4498</v>
      </c>
      <c r="D90" s="2">
        <v>44</v>
      </c>
      <c r="E90" s="2">
        <v>60</v>
      </c>
      <c r="F90" s="3" t="str">
        <f>HYPERLINK("http://www.sah.co.rs/xmtg-938k.html?___store=serbian"," Pogledajte proizvod na sajtu -&gt;")</f>
        <v> Pogledajte proizvod na sajtu -&gt;</v>
      </c>
    </row>
    <row r="91" spans="1:6" ht="12.75">
      <c r="A91" s="2">
        <v>90</v>
      </c>
      <c r="B91" t="s">
        <v>4499</v>
      </c>
      <c r="C91" t="s">
        <v>4498</v>
      </c>
      <c r="D91" s="2">
        <v>7</v>
      </c>
      <c r="E91" s="2">
        <v>65</v>
      </c>
      <c r="F91" s="3" t="str">
        <f>HYPERLINK("http://www.sah.co.rs/ai508-8-rc18.html?___store=serbian"," Pogledajte proizvod na sajtu -&gt;")</f>
        <v> Pogledajte proizvod na sajtu -&gt;</v>
      </c>
    </row>
    <row r="92" spans="1:6" ht="12.75">
      <c r="A92" s="2">
        <v>91</v>
      </c>
      <c r="B92" t="s">
        <v>4500</v>
      </c>
      <c r="C92" t="s">
        <v>4498</v>
      </c>
      <c r="D92" s="2">
        <v>122</v>
      </c>
      <c r="E92" s="2">
        <v>65</v>
      </c>
      <c r="F92" s="3" t="str">
        <f>HYPERLINK("http://www.sah.co.rs/xmtf-938k.html?___store=serbian"," Pogledajte proizvod na sajtu -&gt;")</f>
        <v> Pogledajte proizvod na sajtu -&gt;</v>
      </c>
    </row>
    <row r="93" spans="1:6" ht="12.75">
      <c r="A93" s="2">
        <v>92</v>
      </c>
      <c r="B93" t="s">
        <v>4501</v>
      </c>
      <c r="C93" t="s">
        <v>4498</v>
      </c>
      <c r="D93" s="2">
        <v>71</v>
      </c>
      <c r="E93" s="2">
        <v>67.5</v>
      </c>
      <c r="F93" s="3" t="str">
        <f>HYPERLINK("http://www.sah.co.rs/xmtf-838k.html?___store=serbian"," Pogledajte proizvod na sajtu -&gt;")</f>
        <v> Pogledajte proizvod na sajtu -&gt;</v>
      </c>
    </row>
    <row r="94" spans="1:6" ht="12.75">
      <c r="A94" s="2">
        <v>93</v>
      </c>
      <c r="B94" t="s">
        <v>4502</v>
      </c>
      <c r="C94" t="s">
        <v>4498</v>
      </c>
      <c r="D94" s="2">
        <v>49</v>
      </c>
      <c r="E94" s="2">
        <v>65</v>
      </c>
      <c r="F94" s="3" t="str">
        <f>HYPERLINK("http://www.sah.co.rs/xmtg-838k.html?___store=serbian"," Pogledajte proizvod na sajtu -&gt;")</f>
        <v> Pogledajte proizvod na sajtu -&gt;</v>
      </c>
    </row>
    <row r="95" spans="1:6" ht="12.75">
      <c r="A95" s="2">
        <v>94</v>
      </c>
      <c r="B95" t="s">
        <v>4503</v>
      </c>
      <c r="C95" t="s">
        <v>4504</v>
      </c>
      <c r="D95" s="2">
        <v>10</v>
      </c>
      <c r="E95" s="2">
        <v>38</v>
      </c>
      <c r="F95" s="3" t="str">
        <f>HYPERLINK("http://www.sah.co.rs/xmtg-618-ssr.html?___store=serbian"," Pogledajte proizvod na sajtu -&gt;")</f>
        <v> Pogledajte proizvod na sajtu -&gt;</v>
      </c>
    </row>
    <row r="96" spans="1:6" ht="12.75">
      <c r="A96" s="2">
        <v>95</v>
      </c>
      <c r="B96" t="s">
        <v>4505</v>
      </c>
      <c r="C96" t="s">
        <v>4506</v>
      </c>
      <c r="D96" s="2">
        <v>10</v>
      </c>
      <c r="E96" s="2">
        <v>47.5</v>
      </c>
      <c r="F96" s="3" t="str">
        <f>HYPERLINK("http://www.sah.co.rs/xmta-938-ssr.html?___store=serbian"," Pogledajte proizvod na sajtu -&gt;")</f>
        <v> Pogledajte proizvod na sajtu -&gt;</v>
      </c>
    </row>
    <row r="97" spans="1:6" ht="12.75">
      <c r="A97" s="2">
        <v>96</v>
      </c>
      <c r="B97" t="s">
        <v>4507</v>
      </c>
      <c r="C97" t="s">
        <v>4506</v>
      </c>
      <c r="D97" s="2">
        <v>10</v>
      </c>
      <c r="E97" s="2">
        <v>45</v>
      </c>
      <c r="F97" s="3" t="str">
        <f>HYPERLINK("http://www.sah.co.rs/xmtf-938-ssr.html?___store=serbian"," Pogledajte proizvod na sajtu -&gt;")</f>
        <v> Pogledajte proizvod na sajtu -&gt;</v>
      </c>
    </row>
    <row r="98" spans="1:6" ht="12.75">
      <c r="A98" s="2">
        <v>97</v>
      </c>
      <c r="B98" t="s">
        <v>4508</v>
      </c>
      <c r="C98" t="s">
        <v>4506</v>
      </c>
      <c r="D98" s="2">
        <v>10</v>
      </c>
      <c r="E98" s="2">
        <v>42.5</v>
      </c>
      <c r="F98" s="3" t="str">
        <f>HYPERLINK("http://www.sah.co.rs/xmtg-938-ssr.html?___store=serbian"," Pogledajte proizvod na sajtu -&gt;")</f>
        <v> Pogledajte proizvod na sajtu -&gt;</v>
      </c>
    </row>
    <row r="99" spans="1:6" ht="12.75">
      <c r="A99" s="2">
        <v>98</v>
      </c>
      <c r="B99" t="s">
        <v>4509</v>
      </c>
      <c r="C99" t="s">
        <v>4510</v>
      </c>
      <c r="D99" s="2">
        <v>10</v>
      </c>
      <c r="E99" s="2">
        <v>120</v>
      </c>
      <c r="F99" s="3" t="str">
        <f>HYPERLINK("http://www.sah.co.rs/hx7-01.html?___store=serbian"," Pogledajte proizvod na sajtu -&gt;")</f>
        <v> Pogledajte proizvod na sajtu -&gt;</v>
      </c>
    </row>
    <row r="100" spans="1:6" ht="12.75">
      <c r="A100" s="2">
        <v>99</v>
      </c>
      <c r="B100" t="s">
        <v>4511</v>
      </c>
      <c r="C100" t="s">
        <v>4510</v>
      </c>
      <c r="D100" s="2">
        <v>10</v>
      </c>
      <c r="E100" s="2">
        <v>120</v>
      </c>
      <c r="F100" s="3" t="str">
        <f>HYPERLINK("http://www.sah.co.rs/hx9-01.html?___store=serbian"," Pogledajte proizvod na sajtu -&gt;")</f>
        <v> Pogledajte proizvod na sajtu -&gt;</v>
      </c>
    </row>
    <row r="101" spans="1:6" ht="12.75">
      <c r="A101" s="2">
        <v>100</v>
      </c>
      <c r="B101" t="s">
        <v>4512</v>
      </c>
      <c r="C101" t="s">
        <v>4513</v>
      </c>
      <c r="D101" s="2">
        <v>10</v>
      </c>
      <c r="E101" s="2">
        <v>140</v>
      </c>
      <c r="F101" s="3" t="str">
        <f>HYPERLINK("http://www.sah.co.rs/xmt-818b3.html?___store=serbian"," Pogledajte proizvod na sajtu -&gt;")</f>
        <v> Pogledajte proizvod na sajtu -&gt;</v>
      </c>
    </row>
    <row r="102" spans="1:6" ht="12.75">
      <c r="A102" s="2">
        <v>101</v>
      </c>
      <c r="B102" t="s">
        <v>4514</v>
      </c>
      <c r="C102" t="s">
        <v>4515</v>
      </c>
      <c r="D102" s="2">
        <v>32</v>
      </c>
      <c r="E102" s="2">
        <v>60</v>
      </c>
      <c r="F102" s="3" t="str">
        <f>HYPERLINK("http://www.sah.co.rs/ax4-4a.html?___store=serbian"," Pogledajte proizvod na sajtu -&gt;")</f>
        <v> Pogledajte proizvod na sajtu -&gt;</v>
      </c>
    </row>
    <row r="103" spans="1:6" ht="12.75">
      <c r="A103" s="2">
        <v>102</v>
      </c>
      <c r="B103" t="s">
        <v>4516</v>
      </c>
      <c r="C103" t="s">
        <v>4515</v>
      </c>
      <c r="D103" s="2">
        <v>24</v>
      </c>
      <c r="E103" s="2">
        <v>70</v>
      </c>
      <c r="F103" s="3" t="str">
        <f>HYPERLINK("http://www.sah.co.rs/ax3-4a.html?___store=serbian"," Pogledajte proizvod na sajtu -&gt;")</f>
        <v> Pogledajte proizvod na sajtu -&gt;</v>
      </c>
    </row>
    <row r="104" spans="1:6" ht="12.75">
      <c r="A104" s="2">
        <v>103</v>
      </c>
      <c r="B104" t="s">
        <v>4517</v>
      </c>
      <c r="C104" t="s">
        <v>4518</v>
      </c>
      <c r="D104" s="2">
        <v>3</v>
      </c>
      <c r="E104" s="2">
        <v>60</v>
      </c>
      <c r="F104" s="3" t="str">
        <f>HYPERLINK("http://www.sah.co.rs/ai508-4-db10.html?___store=serbian"," Pogledajte proizvod na sajtu -&gt;")</f>
        <v> Pogledajte proizvod na sajtu -&gt;</v>
      </c>
    </row>
    <row r="105" spans="1:6" ht="12.75">
      <c r="A105" s="2">
        <v>104</v>
      </c>
      <c r="B105" t="s">
        <v>4519</v>
      </c>
      <c r="C105" t="s">
        <v>4520</v>
      </c>
      <c r="D105" s="2">
        <v>30</v>
      </c>
      <c r="E105" s="2">
        <v>65</v>
      </c>
      <c r="F105" s="3" t="str">
        <f>HYPERLINK("http://www.sah.co.rs/tr9-c3.html?___store=serbian"," Pogledajte proizvod na sajtu -&gt;")</f>
        <v> Pogledajte proizvod na sajtu -&gt;</v>
      </c>
    </row>
    <row r="106" spans="1:6" ht="12.75">
      <c r="A106" s="2">
        <v>105</v>
      </c>
      <c r="B106" t="s">
        <v>4521</v>
      </c>
      <c r="C106" t="s">
        <v>4520</v>
      </c>
      <c r="D106" s="2">
        <v>23</v>
      </c>
      <c r="E106" s="2">
        <v>60</v>
      </c>
      <c r="F106" s="3" t="str">
        <f>HYPERLINK("http://www.sah.co.rs/xmtg-838c.html?___store=serbian"," Pogledajte proizvod na sajtu -&gt;")</f>
        <v> Pogledajte proizvod na sajtu -&gt;</v>
      </c>
    </row>
    <row r="107" spans="1:6" ht="12.75">
      <c r="A107" s="2">
        <v>106</v>
      </c>
      <c r="B107" t="s">
        <v>4522</v>
      </c>
      <c r="C107" t="s">
        <v>4520</v>
      </c>
      <c r="D107" s="2">
        <v>5</v>
      </c>
      <c r="E107" s="2">
        <v>60</v>
      </c>
      <c r="F107" s="3" t="str">
        <f>HYPERLINK("http://www.sah.co.rs/ai508-8-dc10.html?___store=serbian"," Pogledajte proizvod na sajtu -&gt;")</f>
        <v> Pogledajte proizvod na sajtu -&gt;</v>
      </c>
    </row>
    <row r="108" spans="1:6" ht="12.75">
      <c r="A108" s="2">
        <v>107</v>
      </c>
      <c r="B108" t="s">
        <v>4523</v>
      </c>
      <c r="C108" t="s">
        <v>4524</v>
      </c>
      <c r="D108" s="2">
        <v>48</v>
      </c>
      <c r="E108" s="2">
        <v>80</v>
      </c>
      <c r="F108" s="3" t="str">
        <f>HYPERLINK("http://www.sah.co.rs/xmtg-838ck.html?___store=serbian"," Pogledajte proizvod na sajtu -&gt;")</f>
        <v> Pogledajte proizvod na sajtu -&gt;</v>
      </c>
    </row>
    <row r="109" spans="1:6" ht="12.75">
      <c r="A109" s="2">
        <v>108</v>
      </c>
      <c r="B109" t="s">
        <v>4525</v>
      </c>
      <c r="C109" t="s">
        <v>4526</v>
      </c>
      <c r="D109" s="2">
        <v>22</v>
      </c>
      <c r="E109" s="2">
        <v>70</v>
      </c>
      <c r="F109" s="3" t="str">
        <f>HYPERLINK("http://www.sah.co.rs/ax9-4a.html?___store=serbian"," Pogledajte proizvod na sajtu -&gt;")</f>
        <v> Pogledajte proizvod na sajtu -&gt;</v>
      </c>
    </row>
    <row r="110" spans="1:6" ht="12.75">
      <c r="A110" s="2">
        <v>109</v>
      </c>
      <c r="B110" t="s">
        <v>4527</v>
      </c>
      <c r="C110" t="s">
        <v>4528</v>
      </c>
      <c r="D110" s="2">
        <v>327</v>
      </c>
      <c r="E110" s="2">
        <v>55</v>
      </c>
      <c r="F110" s="3" t="str">
        <f>HYPERLINK("http://www.sah.co.rs/ax4-1a.html?___store=serbian"," Pogledajte proizvod na sajtu -&gt;")</f>
        <v> Pogledajte proizvod na sajtu -&gt;</v>
      </c>
    </row>
    <row r="111" spans="1:6" ht="12.75">
      <c r="A111" s="2">
        <v>110</v>
      </c>
      <c r="B111" t="s">
        <v>4529</v>
      </c>
      <c r="C111" t="s">
        <v>4528</v>
      </c>
      <c r="D111" s="2">
        <v>97</v>
      </c>
      <c r="E111" s="2">
        <v>65</v>
      </c>
      <c r="F111" s="3" t="str">
        <f>HYPERLINK("http://www.sah.co.rs/ax2-1a.html?___store=serbian"," Pogledajte proizvod na sajtu -&gt;")</f>
        <v> Pogledajte proizvod na sajtu -&gt;</v>
      </c>
    </row>
    <row r="112" spans="1:6" ht="12.75">
      <c r="A112" s="2">
        <v>111</v>
      </c>
      <c r="B112" t="s">
        <v>4530</v>
      </c>
      <c r="C112" t="s">
        <v>4528</v>
      </c>
      <c r="D112" s="2">
        <v>52</v>
      </c>
      <c r="E112" s="2">
        <v>65</v>
      </c>
      <c r="F112" s="3" t="str">
        <f>HYPERLINK("http://www.sah.co.rs/ax3-1a.html?___store=serbian"," Pogledajte proizvod na sajtu -&gt;")</f>
        <v> Pogledajte proizvod na sajtu -&gt;</v>
      </c>
    </row>
    <row r="113" spans="1:6" ht="12.75">
      <c r="A113" s="2">
        <v>112</v>
      </c>
      <c r="B113" t="s">
        <v>4531</v>
      </c>
      <c r="C113" t="s">
        <v>4528</v>
      </c>
      <c r="D113" s="2">
        <v>89</v>
      </c>
      <c r="E113" s="2">
        <v>65</v>
      </c>
      <c r="F113" s="3" t="str">
        <f>HYPERLINK("http://www.sah.co.rs/ax9-1a.html?___store=serbian"," Pogledajte proizvod na sajtu -&gt;")</f>
        <v> Pogledajte proizvod na sajtu -&gt;</v>
      </c>
    </row>
    <row r="114" spans="1:6" ht="12.75">
      <c r="A114" s="2">
        <v>113</v>
      </c>
      <c r="B114" t="s">
        <v>4532</v>
      </c>
      <c r="C114" t="s">
        <v>4528</v>
      </c>
      <c r="D114" s="2">
        <v>41</v>
      </c>
      <c r="E114" s="2">
        <v>65</v>
      </c>
      <c r="F114" s="3" t="str">
        <f>HYPERLINK("http://www.sah.co.rs/ax7-1a.html?___store=serbian"," Pogledajte proizvod na sajtu -&gt;")</f>
        <v> Pogledajte proizvod na sajtu -&gt;</v>
      </c>
    </row>
    <row r="115" spans="1:6" ht="12.75">
      <c r="A115" s="2">
        <v>114</v>
      </c>
      <c r="B115" t="s">
        <v>4533</v>
      </c>
      <c r="C115" t="s">
        <v>4534</v>
      </c>
      <c r="D115" s="2">
        <v>63</v>
      </c>
      <c r="E115" s="2">
        <v>60</v>
      </c>
      <c r="F115" s="3" t="str">
        <f>HYPERLINK("http://www.sah.co.rs/ax4-2a.html?___store=serbian"," Pogledajte proizvod na sajtu -&gt;")</f>
        <v> Pogledajte proizvod na sajtu -&gt;</v>
      </c>
    </row>
    <row r="116" spans="1:6" ht="12.75">
      <c r="A116" s="2">
        <v>115</v>
      </c>
      <c r="B116" t="s">
        <v>4535</v>
      </c>
      <c r="C116" t="s">
        <v>4536</v>
      </c>
      <c r="D116" s="2">
        <v>8</v>
      </c>
      <c r="E116" s="2">
        <v>52.5</v>
      </c>
      <c r="F116" s="3" t="str">
        <f>HYPERLINK("http://www.sah.co.rs/xmtg-918ca.html?___store=serbian"," Pogledajte proizvod na sajtu -&gt;")</f>
        <v> Pogledajte proizvod na sajtu -&gt;</v>
      </c>
    </row>
    <row r="117" spans="1:6" ht="12.75">
      <c r="A117" s="2">
        <v>116</v>
      </c>
      <c r="B117" t="s">
        <v>4537</v>
      </c>
      <c r="C117" t="s">
        <v>4538</v>
      </c>
      <c r="D117" s="2">
        <v>24</v>
      </c>
      <c r="E117" s="2">
        <v>95</v>
      </c>
      <c r="F117" s="3" t="str">
        <f>HYPERLINK("http://www.sah.co.rs/mc-5838-401-000.html?___store=serbian"," Pogledajte proizvod na sajtu -&gt;")</f>
        <v> Pogledajte proizvod na sajtu -&gt;</v>
      </c>
    </row>
    <row r="118" spans="1:6" ht="12.75">
      <c r="A118" s="2">
        <v>117</v>
      </c>
      <c r="B118" t="s">
        <v>4539</v>
      </c>
      <c r="C118" t="s">
        <v>4538</v>
      </c>
      <c r="D118" s="2">
        <v>13</v>
      </c>
      <c r="E118" s="2">
        <v>90</v>
      </c>
      <c r="F118" s="3" t="str">
        <f>HYPERLINK("http://www.sah.co.rs/mc-5638-401-000.html?___store=serbian"," Pogledajte proizvod na sajtu -&gt;")</f>
        <v> Pogledajte proizvod na sajtu -&gt;</v>
      </c>
    </row>
    <row r="119" spans="1:6" ht="12.75">
      <c r="A119" s="2">
        <v>118</v>
      </c>
      <c r="B119" t="s">
        <v>4540</v>
      </c>
      <c r="C119" t="s">
        <v>4541</v>
      </c>
      <c r="D119" s="2">
        <v>5</v>
      </c>
      <c r="E119" s="2">
        <v>80</v>
      </c>
      <c r="F119" s="3" t="str">
        <f>HYPERLINK("http://www.sah.co.rs/mc-5738-101-000.html?___store=serbian"," Pogledajte proizvod na sajtu -&gt;")</f>
        <v> Pogledajte proizvod na sajtu -&gt;</v>
      </c>
    </row>
    <row r="120" spans="1:6" ht="12.75">
      <c r="A120" s="2">
        <v>119</v>
      </c>
      <c r="B120" t="s">
        <v>4542</v>
      </c>
      <c r="C120" t="s">
        <v>4541</v>
      </c>
      <c r="D120" s="2">
        <v>14</v>
      </c>
      <c r="E120" s="2">
        <v>85</v>
      </c>
      <c r="F120" s="3" t="str">
        <f>HYPERLINK("http://www.sah.co.rs/mc-5838-101-000.html?___store=serbian"," Pogledajte proizvod na sajtu -&gt;")</f>
        <v> Pogledajte proizvod na sajtu -&gt;</v>
      </c>
    </row>
    <row r="121" spans="1:6" ht="12.75">
      <c r="A121" s="2">
        <v>120</v>
      </c>
      <c r="B121" t="s">
        <v>4543</v>
      </c>
      <c r="C121" t="s">
        <v>4544</v>
      </c>
      <c r="D121" s="2">
        <v>38</v>
      </c>
      <c r="E121" s="2">
        <v>80</v>
      </c>
      <c r="F121" s="3" t="str">
        <f>HYPERLINK("http://www.sah.co.rs/mc-5438-102-000.html?___store=serbian"," Pogledajte proizvod na sajtu -&gt;")</f>
        <v> Pogledajte proizvod na sajtu -&gt;</v>
      </c>
    </row>
    <row r="122" spans="1:6" ht="12.75">
      <c r="A122" s="2">
        <v>121</v>
      </c>
      <c r="B122" t="s">
        <v>4545</v>
      </c>
      <c r="C122" t="s">
        <v>4546</v>
      </c>
      <c r="D122" s="2">
        <v>9</v>
      </c>
      <c r="E122" s="2">
        <v>110</v>
      </c>
      <c r="F122" s="3" t="str">
        <f>HYPERLINK("http://www.sah.co.rs/mc-5838-102-100.html?___store=serbian"," Pogledajte proizvod na sajtu -&gt;")</f>
        <v> Pogledajte proizvod na sajtu -&gt;</v>
      </c>
    </row>
    <row r="123" spans="1:6" ht="12.75">
      <c r="A123" s="2">
        <v>122</v>
      </c>
      <c r="B123" t="s">
        <v>4547</v>
      </c>
      <c r="C123" t="s">
        <v>4548</v>
      </c>
      <c r="D123" s="2">
        <v>0</v>
      </c>
      <c r="E123" s="2">
        <v>110</v>
      </c>
      <c r="F123" s="3" t="str">
        <f>HYPERLINK("http://www.sah.co.rs/mc-5838-102-002.html?___store=serbian"," Pogledajte proizvod na sajtu -&gt;")</f>
        <v> Pogledajte proizvod na sajtu -&gt;</v>
      </c>
    </row>
    <row r="124" spans="1:6" ht="12.75">
      <c r="A124" s="2">
        <v>123</v>
      </c>
      <c r="B124" t="s">
        <v>4549</v>
      </c>
      <c r="C124" t="s">
        <v>4548</v>
      </c>
      <c r="D124" s="2">
        <v>27</v>
      </c>
      <c r="E124" s="2">
        <v>100</v>
      </c>
      <c r="F124" s="3" t="str">
        <f>HYPERLINK("http://www.sah.co.rs/mc-5438-102-002.html?___store=serbian"," Pogledajte proizvod na sajtu -&gt;")</f>
        <v> Pogledajte proizvod na sajtu -&gt;</v>
      </c>
    </row>
    <row r="125" spans="1:6" ht="12.75">
      <c r="A125" s="2">
        <v>124</v>
      </c>
      <c r="B125" t="s">
        <v>4550</v>
      </c>
      <c r="C125" t="s">
        <v>4551</v>
      </c>
      <c r="D125" s="2">
        <v>57</v>
      </c>
      <c r="E125" s="2">
        <v>75</v>
      </c>
      <c r="F125" s="3" t="str">
        <f>HYPERLINK("http://www.sah.co.rs/mc-5438-111-000.html?___store=serbian"," Pogledajte proizvod na sajtu -&gt;")</f>
        <v> Pogledajte proizvod na sajtu -&gt;</v>
      </c>
    </row>
    <row r="126" spans="1:6" ht="12.75">
      <c r="A126" s="2">
        <v>125</v>
      </c>
      <c r="B126" t="s">
        <v>4552</v>
      </c>
      <c r="C126" t="s">
        <v>4551</v>
      </c>
      <c r="D126" s="2">
        <v>31</v>
      </c>
      <c r="E126" s="2">
        <v>80</v>
      </c>
      <c r="F126" s="3" t="str">
        <f>HYPERLINK("http://www.sah.co.rs/mc-5538-111-000.html?___store=serbian"," Pogledajte proizvod na sajtu -&gt;")</f>
        <v> Pogledajte proizvod na sajtu -&gt;</v>
      </c>
    </row>
    <row r="127" spans="1:6" ht="12.75">
      <c r="A127" s="2">
        <v>126</v>
      </c>
      <c r="B127" t="s">
        <v>4553</v>
      </c>
      <c r="C127" t="s">
        <v>4551</v>
      </c>
      <c r="D127" s="2">
        <v>17</v>
      </c>
      <c r="E127" s="2">
        <v>80</v>
      </c>
      <c r="F127" s="3" t="str">
        <f>HYPERLINK("http://www.sah.co.rs/mc-5638-111-000.html?___store=serbian"," Pogledajte proizvod na sajtu -&gt;")</f>
        <v> Pogledajte proizvod na sajtu -&gt;</v>
      </c>
    </row>
    <row r="128" spans="1:6" ht="12.75">
      <c r="A128" s="2">
        <v>127</v>
      </c>
      <c r="B128" t="s">
        <v>4554</v>
      </c>
      <c r="C128" t="s">
        <v>4551</v>
      </c>
      <c r="D128" s="2">
        <v>11</v>
      </c>
      <c r="E128" s="2">
        <v>80</v>
      </c>
      <c r="F128" s="3" t="str">
        <f>HYPERLINK("http://www.sah.co.rs/mc-5738-111-000.html?___store=serbian"," Pogledajte proizvod na sajtu -&gt;")</f>
        <v> Pogledajte proizvod na sajtu -&gt;</v>
      </c>
    </row>
    <row r="129" spans="1:6" ht="12.75">
      <c r="A129" s="2">
        <v>128</v>
      </c>
      <c r="B129" t="s">
        <v>4555</v>
      </c>
      <c r="C129" t="s">
        <v>4551</v>
      </c>
      <c r="D129" s="2">
        <v>15</v>
      </c>
      <c r="E129" s="2">
        <v>90</v>
      </c>
      <c r="F129" s="3" t="str">
        <f>HYPERLINK("http://www.sah.co.rs/mc-5838-111-000.html?___store=serbian"," Pogledajte proizvod na sajtu -&gt;")</f>
        <v> Pogledajte proizvod na sajtu -&gt;</v>
      </c>
    </row>
    <row r="130" spans="1:6" ht="12.75">
      <c r="A130" s="2">
        <v>129</v>
      </c>
      <c r="B130" t="s">
        <v>4556</v>
      </c>
      <c r="C130" t="s">
        <v>4557</v>
      </c>
      <c r="D130" s="2">
        <v>29</v>
      </c>
      <c r="E130" s="2">
        <v>110</v>
      </c>
      <c r="F130" s="3" t="str">
        <f>HYPERLINK("http://www.sah.co.rs/mc-5838-111-002.html?___store=serbian"," Pogledajte proizvod na sajtu -&gt;")</f>
        <v> Pogledajte proizvod na sajtu -&gt;</v>
      </c>
    </row>
    <row r="131" spans="1:6" ht="12.75">
      <c r="A131" s="2">
        <v>130</v>
      </c>
      <c r="B131" t="s">
        <v>4558</v>
      </c>
      <c r="C131" t="s">
        <v>4559</v>
      </c>
      <c r="D131" s="2">
        <v>20</v>
      </c>
      <c r="E131" s="2">
        <v>80</v>
      </c>
      <c r="F131" s="3" t="str">
        <f>HYPERLINK("http://www.sah.co.rs/mc-5438-401-000.html?___store=serbian"," Pogledajte proizvod na sajtu -&gt;")</f>
        <v> Pogledajte proizvod na sajtu -&gt;</v>
      </c>
    </row>
    <row r="132" spans="1:6" ht="12.75">
      <c r="A132" s="2">
        <v>131</v>
      </c>
      <c r="B132" t="s">
        <v>4560</v>
      </c>
      <c r="C132" t="s">
        <v>4561</v>
      </c>
      <c r="D132" s="2">
        <v>15</v>
      </c>
      <c r="E132" s="2">
        <v>90</v>
      </c>
      <c r="F132" s="3" t="str">
        <f>HYPERLINK("http://www.sah.co.rs/mc-5838-311-000.html?___store=serbian"," Pogledajte proizvod na sajtu -&gt;")</f>
        <v> Pogledajte proizvod na sajtu -&gt;</v>
      </c>
    </row>
    <row r="133" spans="1:6" ht="12.75">
      <c r="A133" s="2">
        <v>132</v>
      </c>
      <c r="B133" t="s">
        <v>4562</v>
      </c>
      <c r="C133" t="s">
        <v>4561</v>
      </c>
      <c r="D133" s="2">
        <v>17</v>
      </c>
      <c r="E133" s="2">
        <v>80</v>
      </c>
      <c r="F133" s="3" t="str">
        <f>HYPERLINK("http://www.sah.co.rs/mc-5438-311-000.html?___store=serbian"," Pogledajte proizvod na sajtu -&gt;")</f>
        <v> Pogledajte proizvod na sajtu -&gt;</v>
      </c>
    </row>
    <row r="134" spans="1:6" ht="12.75">
      <c r="A134" s="2">
        <v>133</v>
      </c>
      <c r="B134" t="s">
        <v>4563</v>
      </c>
      <c r="C134" t="s">
        <v>4561</v>
      </c>
      <c r="D134" s="2">
        <v>8</v>
      </c>
      <c r="E134" s="2">
        <v>80</v>
      </c>
      <c r="F134" s="3" t="str">
        <f>HYPERLINK("http://www.sah.co.rs/mc-5638-311-000.html?___store=serbian"," Pogledajte proizvod na sajtu -&gt;")</f>
        <v> Pogledajte proizvod na sajtu -&gt;</v>
      </c>
    </row>
    <row r="135" spans="1:6" ht="12.75">
      <c r="A135" s="2">
        <v>134</v>
      </c>
      <c r="B135" t="s">
        <v>4564</v>
      </c>
      <c r="C135" t="s">
        <v>4565</v>
      </c>
      <c r="D135" s="2">
        <v>44</v>
      </c>
      <c r="E135" s="2">
        <v>120</v>
      </c>
      <c r="F135" s="3" t="str">
        <f>HYPERLINK("http://www.sah.co.rs/mc-5838-311-002.html?___store=serbian"," Pogledajte proizvod na sajtu -&gt;")</f>
        <v> Pogledajte proizvod na sajtu -&gt;</v>
      </c>
    </row>
    <row r="136" spans="1:6" ht="12.75">
      <c r="A136" s="2">
        <v>135</v>
      </c>
      <c r="B136" t="s">
        <v>4566</v>
      </c>
      <c r="C136" t="s">
        <v>4567</v>
      </c>
      <c r="D136" s="2">
        <v>54</v>
      </c>
      <c r="E136" s="2">
        <v>40</v>
      </c>
      <c r="F136" s="3" t="str">
        <f>HYPERLINK("http://www.sah.co.rs/te3-rb10w.html?___store=serbian"," Pogledajte proizvod na sajtu -&gt;")</f>
        <v> Pogledajte proizvod na sajtu -&gt;</v>
      </c>
    </row>
    <row r="137" spans="1:6" ht="12.75">
      <c r="A137" s="2">
        <v>136</v>
      </c>
      <c r="B137" t="s">
        <v>4568</v>
      </c>
      <c r="C137" t="s">
        <v>4567</v>
      </c>
      <c r="D137" s="2">
        <v>0</v>
      </c>
      <c r="E137" s="2">
        <v>45</v>
      </c>
      <c r="F137" s="3" t="str">
        <f>HYPERLINK("http://www.sah.co.rs/te4-rb10w.html?___store=serbian"," Pogledajte proizvod na sajtu -&gt;")</f>
        <v> Pogledajte proizvod na sajtu -&gt;</v>
      </c>
    </row>
    <row r="138" spans="1:6" ht="12.75">
      <c r="A138" s="2">
        <v>137</v>
      </c>
      <c r="B138" t="s">
        <v>4569</v>
      </c>
      <c r="C138" t="s">
        <v>4570</v>
      </c>
      <c r="D138" s="2">
        <v>45</v>
      </c>
      <c r="E138" s="2">
        <v>45</v>
      </c>
      <c r="F138" s="3" t="str">
        <f>HYPERLINK("http://www.sah.co.rs/te8-rc10w.html?___store=serbian"," Pogledajte proizvod na sajtu -&gt;")</f>
        <v> Pogledajte proizvod na sajtu -&gt;</v>
      </c>
    </row>
    <row r="139" spans="1:6" ht="12.75">
      <c r="A139" s="2">
        <v>138</v>
      </c>
      <c r="B139" t="s">
        <v>4571</v>
      </c>
      <c r="C139" t="s">
        <v>4570</v>
      </c>
      <c r="D139" s="2">
        <v>27</v>
      </c>
      <c r="E139" s="2">
        <v>45</v>
      </c>
      <c r="F139" s="3" t="str">
        <f>HYPERLINK("http://www.sah.co.rs/te6-rc10w.html?___store=serbian"," Pogledajte proizvod na sajtu -&gt;")</f>
        <v> Pogledajte proizvod na sajtu -&gt;</v>
      </c>
    </row>
    <row r="140" spans="1:6" ht="12.75">
      <c r="A140" s="2">
        <v>139</v>
      </c>
      <c r="B140" t="s">
        <v>4572</v>
      </c>
      <c r="C140" t="s">
        <v>4570</v>
      </c>
      <c r="D140" s="2">
        <v>20</v>
      </c>
      <c r="E140" s="2">
        <v>45</v>
      </c>
      <c r="F140" s="3" t="str">
        <f>HYPERLINK("http://www.sah.co.rs/te7-rc10w.html?___store=serbian"," Pogledajte proizvod na sajtu -&gt;")</f>
        <v> Pogledajte proizvod na sajtu -&gt;</v>
      </c>
    </row>
    <row r="141" spans="1:6" ht="12.75">
      <c r="A141" s="2">
        <v>140</v>
      </c>
      <c r="B141" t="s">
        <v>4573</v>
      </c>
      <c r="C141" t="s">
        <v>4574</v>
      </c>
      <c r="D141" s="2">
        <v>18</v>
      </c>
      <c r="E141" s="2">
        <v>55</v>
      </c>
      <c r="F141" s="3" t="str">
        <f>HYPERLINK("http://www.sah.co.rs/te9-rc18w.html?___store=serbian"," Pogledajte proizvod na sajtu -&gt;")</f>
        <v> Pogledajte proizvod na sajtu -&gt;</v>
      </c>
    </row>
    <row r="142" spans="1:6" ht="12.75">
      <c r="A142" s="2">
        <v>141</v>
      </c>
      <c r="B142" t="s">
        <v>4575</v>
      </c>
      <c r="C142" t="s">
        <v>4576</v>
      </c>
      <c r="D142" s="2">
        <v>34</v>
      </c>
      <c r="E142" s="2">
        <v>50</v>
      </c>
      <c r="F142" s="3" t="str">
        <f>HYPERLINK("http://www.sah.co.rs/te4-dc10w.html?___store=serbian"," Pogledajte proizvod na sajtu -&gt;")</f>
        <v> Pogledajte proizvod na sajtu -&gt;</v>
      </c>
    </row>
    <row r="143" spans="1:6" ht="12.75">
      <c r="A143" s="2">
        <v>142</v>
      </c>
      <c r="B143" t="s">
        <v>4577</v>
      </c>
      <c r="C143" t="s">
        <v>4578</v>
      </c>
      <c r="D143" s="2">
        <v>20</v>
      </c>
      <c r="E143" s="2">
        <v>60</v>
      </c>
      <c r="F143" s="3" t="str">
        <f>HYPERLINK("http://www.sah.co.rs/te8-dc18w.html?___store=serbian"," Pogledajte proizvod na sajtu -&gt;")</f>
        <v> Pogledajte proizvod na sajtu -&gt;</v>
      </c>
    </row>
    <row r="144" spans="1:6" ht="12.75">
      <c r="A144" s="2">
        <v>143</v>
      </c>
      <c r="B144" t="s">
        <v>4579</v>
      </c>
      <c r="C144" t="s">
        <v>4578</v>
      </c>
      <c r="D144" s="2">
        <v>20</v>
      </c>
      <c r="E144" s="2">
        <v>60</v>
      </c>
      <c r="F144" s="3" t="str">
        <f>HYPERLINK("http://www.sah.co.rs/te9-dc18w.html?___store=serbian"," Pogledajte proizvod na sajtu -&gt;")</f>
        <v> Pogledajte proizvod na sajtu -&gt;</v>
      </c>
    </row>
    <row r="145" spans="1:6" ht="12.75">
      <c r="A145" s="2">
        <v>144</v>
      </c>
      <c r="B145" t="s">
        <v>4580</v>
      </c>
      <c r="C145" t="s">
        <v>4581</v>
      </c>
      <c r="D145" s="2">
        <v>9</v>
      </c>
      <c r="E145" s="2">
        <v>110</v>
      </c>
      <c r="F145" s="3" t="str">
        <f>HYPERLINK("http://www.sah.co.rs/nx4-00.html?___store=serbian"," Pogledajte proizvod na sajtu -&gt;")</f>
        <v> Pogledajte proizvod na sajtu -&gt;</v>
      </c>
    </row>
    <row r="146" spans="1:6" ht="12.75">
      <c r="A146" s="2">
        <v>145</v>
      </c>
      <c r="B146" t="s">
        <v>4582</v>
      </c>
      <c r="C146" t="s">
        <v>4581</v>
      </c>
      <c r="D146" s="2">
        <v>8</v>
      </c>
      <c r="E146" s="2">
        <v>110</v>
      </c>
      <c r="F146" s="3" t="str">
        <f>HYPERLINK("http://www.sah.co.rs/cp3-00.html?___store=serbian"," Pogledajte proizvod na sajtu -&gt;")</f>
        <v> Pogledajte proizvod na sajtu -&gt;</v>
      </c>
    </row>
    <row r="147" spans="1:6" ht="12.75">
      <c r="A147" s="2">
        <v>146</v>
      </c>
      <c r="B147" t="s">
        <v>4583</v>
      </c>
      <c r="C147" t="s">
        <v>4584</v>
      </c>
      <c r="D147" s="2">
        <v>4</v>
      </c>
      <c r="E147" s="2">
        <v>120</v>
      </c>
      <c r="F147" s="3" t="str">
        <f>HYPERLINK("http://www.sah.co.rs/nx4-01.html?___store=serbian"," Pogledajte proizvod na sajtu -&gt;")</f>
        <v> Pogledajte proizvod na sajtu -&gt;</v>
      </c>
    </row>
    <row r="148" spans="1:6" ht="12.75">
      <c r="A148" s="2">
        <v>147</v>
      </c>
      <c r="B148" t="s">
        <v>4585</v>
      </c>
      <c r="C148" t="s">
        <v>4584</v>
      </c>
      <c r="D148" s="2">
        <v>8</v>
      </c>
      <c r="E148" s="2">
        <v>110</v>
      </c>
      <c r="F148" s="3" t="str">
        <f>HYPERLINK("http://www.sah.co.rs/nx3-01.html?___store=serbian"," Pogledajte proizvod na sajtu -&gt;")</f>
        <v> Pogledajte proizvod na sajtu -&gt;</v>
      </c>
    </row>
    <row r="149" spans="1:6" ht="12.75">
      <c r="A149" s="2">
        <v>148</v>
      </c>
      <c r="B149" t="s">
        <v>4586</v>
      </c>
      <c r="C149" t="s">
        <v>4587</v>
      </c>
      <c r="D149" s="2">
        <v>10</v>
      </c>
      <c r="E149" s="2">
        <v>120</v>
      </c>
      <c r="F149" s="3" t="str">
        <f>HYPERLINK("http://www.sah.co.rs/mc-5838-402-0b0.html?___store=serbian"," Pogledajte proizvod na sajtu -&gt;")</f>
        <v> Pogledajte proizvod na sajtu -&gt;</v>
      </c>
    </row>
    <row r="150" spans="1:6" ht="12.75">
      <c r="A150" s="2">
        <v>149</v>
      </c>
      <c r="B150" t="s">
        <v>4588</v>
      </c>
      <c r="C150" t="s">
        <v>4589</v>
      </c>
      <c r="D150" s="2">
        <v>7</v>
      </c>
      <c r="E150" s="2">
        <v>80</v>
      </c>
      <c r="F150" s="3" t="str">
        <f>HYPERLINK("http://www.sah.co.rs/mc-5438-101-0b0.html?___store=serbian"," Pogledajte proizvod na sajtu -&gt;")</f>
        <v> Pogledajte proizvod na sajtu -&gt;</v>
      </c>
    </row>
    <row r="151" spans="1:6" ht="12.75">
      <c r="A151" s="2">
        <v>150</v>
      </c>
      <c r="B151" t="s">
        <v>4590</v>
      </c>
      <c r="C151" t="s">
        <v>4591</v>
      </c>
      <c r="D151" s="2">
        <v>9</v>
      </c>
      <c r="E151" s="2">
        <v>120</v>
      </c>
      <c r="F151" s="3" t="str">
        <f>HYPERLINK("http://www.sah.co.rs/mc-5838-402-010.html?___store=serbian"," Pogledajte proizvod na sajtu -&gt;")</f>
        <v> Pogledajte proizvod na sajtu -&gt;</v>
      </c>
    </row>
    <row r="152" spans="1:6" ht="12.75">
      <c r="A152" s="2">
        <v>151</v>
      </c>
      <c r="B152" t="s">
        <v>4592</v>
      </c>
      <c r="C152" t="s">
        <v>4593</v>
      </c>
      <c r="D152" s="2">
        <v>15</v>
      </c>
      <c r="E152" s="2">
        <v>80</v>
      </c>
      <c r="F152" s="3" t="str">
        <f>HYPERLINK("http://www.sah.co.rs/mc-5438-101-010.html?___store=serbian"," Pogledajte proizvod na sajtu -&gt;")</f>
        <v> Pogledajte proizvod na sajtu -&gt;</v>
      </c>
    </row>
    <row r="153" spans="1:6" ht="12.75">
      <c r="A153" s="2">
        <v>152</v>
      </c>
      <c r="B153" t="s">
        <v>4594</v>
      </c>
      <c r="C153" t="s">
        <v>4595</v>
      </c>
      <c r="D153" s="2">
        <v>9</v>
      </c>
      <c r="E153" s="2">
        <v>400</v>
      </c>
      <c r="F153" s="3" t="str">
        <f>HYPERLINK("http://www.sah.co.rs/rt9.html?___store=serbian"," Pogledajte proizvod na sajtu -&gt;")</f>
        <v> Pogledajte proizvod na sajtu -&gt;</v>
      </c>
    </row>
    <row r="154" spans="1:6" ht="12.75">
      <c r="A154" s="2">
        <v>153</v>
      </c>
      <c r="B154" t="s">
        <v>4596</v>
      </c>
      <c r="C154" t="s">
        <v>4597</v>
      </c>
      <c r="D154" s="2">
        <v>38</v>
      </c>
      <c r="E154" s="2">
        <v>45</v>
      </c>
      <c r="F154" s="3" t="str">
        <f>HYPERLINK("http://www.sah.co.rs/xmtg-618t.html?___store=serbian"," Pogledajte proizvod na sajtu -&gt;")</f>
        <v> Pogledajte proizvod na sajtu -&gt;</v>
      </c>
    </row>
    <row r="155" spans="1:6" ht="12.75">
      <c r="A155" s="2">
        <v>154</v>
      </c>
      <c r="B155" t="s">
        <v>4598</v>
      </c>
      <c r="C155" t="s">
        <v>4599</v>
      </c>
      <c r="D155" s="2">
        <v>36</v>
      </c>
      <c r="E155" s="2">
        <v>52.5</v>
      </c>
      <c r="F155" s="3" t="str">
        <f>HYPERLINK("http://www.sah.co.rs/xmtg-938t.html?___store=serbian"," Pogledajte proizvod na sajtu -&gt;")</f>
        <v> Pogledajte proizvod na sajtu -&gt;</v>
      </c>
    </row>
    <row r="156" spans="1:6" ht="12.75">
      <c r="A156" s="2">
        <v>155</v>
      </c>
      <c r="B156" t="s">
        <v>4600</v>
      </c>
      <c r="C156" t="s">
        <v>4599</v>
      </c>
      <c r="D156" s="2">
        <v>8</v>
      </c>
      <c r="E156" s="2">
        <v>55</v>
      </c>
      <c r="F156" s="3" t="str">
        <f>HYPERLINK("http://www.sah.co.rs/xmtf-938t.html?___store=serbian"," Pogledajte proizvod na sajtu -&gt;")</f>
        <v> Pogledajte proizvod na sajtu -&gt;</v>
      </c>
    </row>
    <row r="157" spans="1:6" ht="12.75">
      <c r="A157" s="2">
        <v>156</v>
      </c>
      <c r="B157" t="s">
        <v>4601</v>
      </c>
      <c r="C157" t="s">
        <v>4599</v>
      </c>
      <c r="D157" s="2">
        <v>23</v>
      </c>
      <c r="E157" s="2">
        <v>57.5</v>
      </c>
      <c r="F157" s="3" t="str">
        <f>HYPERLINK("http://www.sah.co.rs/xmta-938t.html?___store=serbian","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4.421875" style="0" customWidth="1"/>
    <col min="3" max="3" width="52.003906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4602</v>
      </c>
      <c r="C2" t="s">
        <v>4603</v>
      </c>
      <c r="D2" s="2">
        <v>63</v>
      </c>
      <c r="E2" s="2">
        <v>1</v>
      </c>
      <c r="F2" s="3" t="str">
        <f>HYPERLINK("http://www.sah.co.rs/ksd-9700-100c.html?___store=serbian"," Pogledajte proizvod na sajtu -&gt;")</f>
        <v> Pogledajte proizvod na sajtu -&gt;</v>
      </c>
    </row>
    <row r="3" spans="1:6" ht="12.75">
      <c r="A3" s="2">
        <v>2</v>
      </c>
      <c r="B3" t="s">
        <v>4604</v>
      </c>
      <c r="C3" t="s">
        <v>4605</v>
      </c>
      <c r="D3" s="2">
        <v>152</v>
      </c>
      <c r="E3" s="2">
        <v>1</v>
      </c>
      <c r="F3" s="3" t="str">
        <f>HYPERLINK("http://www.sah.co.rs/ksd-9700-125c.html?___store=serbian"," Pogledajte proizvod na sajtu -&gt;")</f>
        <v> Pogledajte proizvod na sajtu -&gt;</v>
      </c>
    </row>
    <row r="4" spans="1:6" ht="12.75">
      <c r="A4" s="2">
        <v>3</v>
      </c>
      <c r="B4" t="s">
        <v>4606</v>
      </c>
      <c r="C4" t="s">
        <v>4607</v>
      </c>
      <c r="D4" s="2">
        <v>451</v>
      </c>
      <c r="E4" s="2">
        <v>1</v>
      </c>
      <c r="F4" s="3" t="str">
        <f>HYPERLINK("http://www.sah.co.rs/ksd-9700-65c.html?___store=serbian"," Pogledajte proizvod na sajtu -&gt;")</f>
        <v> Pogledajte proizvod na sajtu -&gt;</v>
      </c>
    </row>
    <row r="5" spans="1:6" ht="12.75">
      <c r="A5" s="2">
        <v>4</v>
      </c>
      <c r="B5" t="s">
        <v>4608</v>
      </c>
      <c r="C5" t="s">
        <v>4609</v>
      </c>
      <c r="D5" s="2">
        <v>445</v>
      </c>
      <c r="E5" s="2">
        <v>1</v>
      </c>
      <c r="F5" s="3" t="str">
        <f>HYPERLINK("http://www.sah.co.rs/ksd-9700-75c.html?___store=serbian"," Pogledajte proizvod na sajtu -&gt;")</f>
        <v> Pogledajte proizvod na sajtu -&gt;</v>
      </c>
    </row>
    <row r="6" spans="1:6" ht="12.75">
      <c r="A6" s="2">
        <v>5</v>
      </c>
      <c r="B6" t="s">
        <v>4610</v>
      </c>
      <c r="C6" t="s">
        <v>4611</v>
      </c>
      <c r="D6" s="2">
        <v>73</v>
      </c>
      <c r="E6" s="2">
        <v>10</v>
      </c>
      <c r="F6" s="3" t="str">
        <f>HYPERLINK("http://www.sah.co.rs/zro011.html?___store=serbian"," Pogledajte proizvod na sajtu -&gt;")</f>
        <v> Pogledajte proizvod na sajtu -&gt;</v>
      </c>
    </row>
    <row r="7" spans="1:6" ht="12.75">
      <c r="A7" s="2">
        <v>6</v>
      </c>
      <c r="B7" t="s">
        <v>4612</v>
      </c>
      <c r="C7" t="s">
        <v>4613</v>
      </c>
      <c r="D7" s="2">
        <v>19</v>
      </c>
      <c r="E7" s="2">
        <v>5</v>
      </c>
      <c r="F7" s="3" t="str">
        <f>HYPERLINK("http://www.sah.co.rs/kto011.html?___store=serbian"," Pogledajte proizvod na sajtu -&gt;")</f>
        <v> Pogledajte proizvod na sajtu -&gt;</v>
      </c>
    </row>
    <row r="8" spans="1:6" ht="12.75">
      <c r="A8" s="2">
        <v>7</v>
      </c>
      <c r="B8" t="s">
        <v>4614</v>
      </c>
      <c r="C8" t="s">
        <v>4615</v>
      </c>
      <c r="D8" s="2">
        <v>70</v>
      </c>
      <c r="E8" s="2">
        <v>5</v>
      </c>
      <c r="F8" s="3" t="str">
        <f>HYPERLINK("http://www.sah.co.rs/kts011.html?___store=serbian","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>
  <dimension ref="A1:F5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6.57421875" style="0" customWidth="1"/>
    <col min="3" max="3" width="45.281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4616</v>
      </c>
      <c r="C2" t="s">
        <v>4617</v>
      </c>
      <c r="D2" s="2">
        <v>4</v>
      </c>
      <c r="E2" s="2">
        <v>200</v>
      </c>
      <c r="F2" s="3" t="str">
        <f>HYPERLINK("http://www.sah.co.rs/j3-scr-120la.html?___store=serbian"," Pogledajte proizvod na sajtu -&gt;")</f>
        <v> Pogledajte proizvod na sajtu -&gt;</v>
      </c>
    </row>
    <row r="3" spans="1:6" ht="12.75">
      <c r="A3" s="2">
        <v>2</v>
      </c>
      <c r="B3" t="s">
        <v>4618</v>
      </c>
      <c r="C3" t="s">
        <v>4619</v>
      </c>
      <c r="D3" s="2">
        <v>38</v>
      </c>
      <c r="E3" s="2">
        <v>120</v>
      </c>
      <c r="F3" s="3" t="str">
        <f>HYPERLINK("http://www.sah.co.rs/scr3-24kw-4.html?___store=serbian"," Pogledajte proizvod na sajtu -&gt;")</f>
        <v> Pogledajte proizvod na sajtu -&gt;</v>
      </c>
    </row>
    <row r="4" spans="1:6" ht="12.75">
      <c r="A4" s="2">
        <v>3</v>
      </c>
      <c r="B4" t="s">
        <v>4620</v>
      </c>
      <c r="C4" t="s">
        <v>4621</v>
      </c>
      <c r="D4" s="2">
        <v>6</v>
      </c>
      <c r="E4" s="2">
        <v>400</v>
      </c>
      <c r="F4" s="3" t="str">
        <f>HYPERLINK("http://www.sah.co.rs/hnscr-250la-zq.html?___store=serbian"," Pogledajte proizvod na sajtu -&gt;")</f>
        <v> Pogledajte proizvod na sajtu -&gt;</v>
      </c>
    </row>
    <row r="5" spans="1:6" ht="12.75">
      <c r="A5" s="2">
        <v>4</v>
      </c>
      <c r="B5" t="s">
        <v>4622</v>
      </c>
      <c r="C5" t="s">
        <v>4623</v>
      </c>
      <c r="D5" s="2">
        <v>6</v>
      </c>
      <c r="E5" s="2">
        <v>170</v>
      </c>
      <c r="F5" s="3" t="str">
        <f>HYPERLINK("http://www.sah.co.rs/j3-scr-75la.html?___store=serbian","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0.28125" style="0" customWidth="1"/>
    <col min="3" max="3" width="37.71093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318</v>
      </c>
      <c r="C2" t="s">
        <v>319</v>
      </c>
      <c r="D2" s="2">
        <v>22</v>
      </c>
      <c r="E2" s="2">
        <v>14</v>
      </c>
      <c r="F2" s="3" t="str">
        <f>HYPERLINK("http://www.sah.co.rs/stopa-m12.html?___store=serbian"," Pogledajte proizvod na sajtu -&gt;")</f>
        <v> Pogledajte proizvod na sajtu -&gt;</v>
      </c>
    </row>
    <row r="3" spans="1:6" ht="12.75">
      <c r="A3" s="2">
        <v>2</v>
      </c>
      <c r="B3" t="s">
        <v>320</v>
      </c>
      <c r="C3" t="s">
        <v>321</v>
      </c>
      <c r="D3" s="2">
        <v>36</v>
      </c>
      <c r="E3" s="2">
        <v>16</v>
      </c>
      <c r="F3" s="3" t="str">
        <f>HYPERLINK("http://www.sah.co.rs/stopa-m18.html?___store=serbian"," Pogledajte proizvod na sajtu -&gt;")</f>
        <v> Pogledajte proizvod na sajtu -&gt;</v>
      </c>
    </row>
    <row r="4" spans="1:6" ht="12.75">
      <c r="A4" s="2">
        <v>3</v>
      </c>
      <c r="B4" t="s">
        <v>322</v>
      </c>
      <c r="C4" t="s">
        <v>323</v>
      </c>
      <c r="D4" s="2">
        <v>7</v>
      </c>
      <c r="E4" s="2">
        <v>20</v>
      </c>
      <c r="F4" s="3" t="str">
        <f>HYPERLINK("http://www.sah.co.rs/stopa-m24.html?___store=serbian"," Pogledajte proizvod na sajtu -&gt;")</f>
        <v> Pogledajte proizvod na sajtu -&gt;</v>
      </c>
    </row>
    <row r="5" spans="1:6" ht="12.75">
      <c r="A5" s="2">
        <v>4</v>
      </c>
      <c r="B5" t="s">
        <v>324</v>
      </c>
      <c r="C5" t="s">
        <v>325</v>
      </c>
      <c r="D5" s="2">
        <v>107</v>
      </c>
      <c r="E5" s="2">
        <v>4</v>
      </c>
      <c r="F5" s="3" t="str">
        <f>HYPERLINK("http://www.sah.co.rs/sa12t-k.html?___store=serbian"," Pogledajte proizvod na sajtu -&gt;")</f>
        <v> Pogledajte proizvod na sajtu -&gt;</v>
      </c>
    </row>
    <row r="6" spans="1:6" ht="12.75">
      <c r="A6" s="2">
        <v>5</v>
      </c>
      <c r="B6" t="s">
        <v>326</v>
      </c>
      <c r="C6" t="s">
        <v>327</v>
      </c>
      <c r="D6" s="2">
        <v>110</v>
      </c>
      <c r="E6" s="2">
        <v>8</v>
      </c>
      <c r="F6" s="3" t="str">
        <f>HYPERLINK("http://www.sah.co.rs/sa18t-k.html?___store=serbian"," Pogledajte proizvod na sajtu -&gt;")</f>
        <v> Pogledajte proizvod na sajtu -&gt;</v>
      </c>
    </row>
    <row r="7" spans="1:6" ht="12.75">
      <c r="A7" s="2">
        <v>6</v>
      </c>
      <c r="B7" t="s">
        <v>328</v>
      </c>
      <c r="C7" t="s">
        <v>329</v>
      </c>
      <c r="D7" s="2">
        <v>59</v>
      </c>
      <c r="E7" s="2">
        <v>10</v>
      </c>
      <c r="F7" s="3" t="str">
        <f>HYPERLINK("http://www.sah.co.rs/sa20t-k.html?___store=serbian"," Pogledajte proizvod na sajtu -&gt;")</f>
        <v> Pogledajte proizvod na sajtu -&gt;</v>
      </c>
    </row>
    <row r="8" spans="1:6" ht="12.75">
      <c r="A8" s="2">
        <v>7</v>
      </c>
      <c r="B8" t="s">
        <v>330</v>
      </c>
      <c r="C8" t="s">
        <v>331</v>
      </c>
      <c r="D8" s="2">
        <v>55</v>
      </c>
      <c r="E8" s="2">
        <v>15</v>
      </c>
      <c r="F8" s="3" t="str">
        <f>HYPERLINK("http://www.sah.co.rs/sa25t-k.html?___store=serbian","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8.8515625" style="0" customWidth="1"/>
    <col min="3" max="3" width="48.85156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4624</v>
      </c>
      <c r="C2" t="s">
        <v>4625</v>
      </c>
      <c r="D2" s="2">
        <v>8</v>
      </c>
      <c r="E2" s="2">
        <v>12</v>
      </c>
      <c r="F2" s="3" t="str">
        <f>HYPERLINK("http://www.sah.co.rs/ew6-200.html?___store=serbian","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9.7109375" style="0" customWidth="1"/>
    <col min="3" max="3" width="92.574218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4626</v>
      </c>
      <c r="C2" t="s">
        <v>4627</v>
      </c>
      <c r="D2" s="2">
        <v>44</v>
      </c>
      <c r="E2" s="2">
        <v>10</v>
      </c>
      <c r="F2" s="3" t="str">
        <f>HYPERLINK("http://www.sah.co.rs/ot-pt100-50-150-c.html?___store=serbian"," Pogledajte proizvod na sajtu -&gt;")</f>
        <v> Pogledajte proizvod na sajtu -&gt;</v>
      </c>
    </row>
    <row r="3" spans="1:6" ht="12.75">
      <c r="A3" s="2">
        <v>2</v>
      </c>
      <c r="B3" t="s">
        <v>4628</v>
      </c>
      <c r="C3" t="s">
        <v>4629</v>
      </c>
      <c r="D3" s="2">
        <v>11</v>
      </c>
      <c r="E3" s="2">
        <v>10</v>
      </c>
      <c r="F3" s="3" t="str">
        <f>HYPERLINK("http://www.sah.co.rs/ot-pt100-50-50-c.html?___store=serbian"," Pogledajte proizvod na sajtu -&gt;")</f>
        <v> Pogledajte proizvod na sajtu -&gt;</v>
      </c>
    </row>
    <row r="4" spans="1:6" ht="12.75">
      <c r="A4" s="2">
        <v>3</v>
      </c>
      <c r="B4" t="s">
        <v>4630</v>
      </c>
      <c r="C4" t="s">
        <v>4631</v>
      </c>
      <c r="D4" s="2">
        <v>38</v>
      </c>
      <c r="E4" s="2">
        <v>10</v>
      </c>
      <c r="F4" s="3" t="str">
        <f>HYPERLINK("http://www.sah.co.rs/ot-pt100-0-100-c.html?___store=serbian"," Pogledajte proizvod na sajtu -&gt;")</f>
        <v> Pogledajte proizvod na sajtu -&gt;</v>
      </c>
    </row>
    <row r="5" spans="1:6" ht="12.75">
      <c r="A5" s="2">
        <v>4</v>
      </c>
      <c r="B5" t="s">
        <v>4632</v>
      </c>
      <c r="C5" t="s">
        <v>4633</v>
      </c>
      <c r="D5" s="2">
        <v>82</v>
      </c>
      <c r="E5" s="2">
        <v>10</v>
      </c>
      <c r="F5" s="3" t="str">
        <f>HYPERLINK("http://www.sah.co.rs/ot-pt100-0-150-c.html?___store=serbian"," Pogledajte proizvod na sajtu -&gt;")</f>
        <v> Pogledajte proizvod na sajtu -&gt;</v>
      </c>
    </row>
    <row r="6" spans="1:6" ht="12.75">
      <c r="A6" s="2">
        <v>5</v>
      </c>
      <c r="B6" t="s">
        <v>4634</v>
      </c>
      <c r="C6" t="s">
        <v>4635</v>
      </c>
      <c r="D6" s="2">
        <v>45</v>
      </c>
      <c r="E6" s="2">
        <v>10</v>
      </c>
      <c r="F6" s="3" t="str">
        <f>HYPERLINK("http://www.sah.co.rs/ot-pt100-0-200-c.html?___store=serbian"," Pogledajte proizvod na sajtu -&gt;")</f>
        <v> Pogledajte proizvod na sajtu -&gt;</v>
      </c>
    </row>
    <row r="7" spans="1:6" ht="12.75">
      <c r="A7" s="2">
        <v>6</v>
      </c>
      <c r="B7" t="s">
        <v>4636</v>
      </c>
      <c r="C7" t="s">
        <v>4637</v>
      </c>
      <c r="D7" s="2">
        <v>70</v>
      </c>
      <c r="E7" s="2">
        <v>10</v>
      </c>
      <c r="F7" s="3" t="str">
        <f>HYPERLINK("http://www.sah.co.rs/ot-pt100-0-250-c.html?___store=serbian"," Pogledajte proizvod na sajtu -&gt;")</f>
        <v> Pogledajte proizvod na sajtu -&gt;</v>
      </c>
    </row>
    <row r="8" spans="1:6" ht="12.75">
      <c r="A8" s="2">
        <v>7</v>
      </c>
      <c r="B8" t="s">
        <v>4638</v>
      </c>
      <c r="C8" t="s">
        <v>4639</v>
      </c>
      <c r="D8" s="2">
        <v>45</v>
      </c>
      <c r="E8" s="2">
        <v>10</v>
      </c>
      <c r="F8" s="3" t="str">
        <f>HYPERLINK("http://www.sah.co.rs/ot-pt100-0-300-c.html?___store=serbian"," Pogledajte proizvod na sajtu -&gt;")</f>
        <v> Pogledajte proizvod na sajtu -&gt;</v>
      </c>
    </row>
    <row r="9" spans="1:6" ht="12.75">
      <c r="A9" s="2">
        <v>8</v>
      </c>
      <c r="B9" t="s">
        <v>4640</v>
      </c>
      <c r="C9" t="s">
        <v>4641</v>
      </c>
      <c r="D9" s="2">
        <v>48</v>
      </c>
      <c r="E9" s="2">
        <v>10</v>
      </c>
      <c r="F9" s="3" t="str">
        <f>HYPERLINK("http://www.sah.co.rs/ot-pt100-0-400-c.html?___store=serbian"," Pogledajte proizvod na sajtu -&gt;")</f>
        <v> Pogledajte proizvod na sajtu -&gt;</v>
      </c>
    </row>
    <row r="10" spans="1:6" ht="12.75">
      <c r="A10" s="2">
        <v>9</v>
      </c>
      <c r="B10" t="s">
        <v>4642</v>
      </c>
      <c r="C10" t="s">
        <v>4643</v>
      </c>
      <c r="D10" s="2">
        <v>47</v>
      </c>
      <c r="E10" s="2">
        <v>10</v>
      </c>
      <c r="F10" s="3" t="str">
        <f>HYPERLINK("http://www.sah.co.rs/ot-pt100-0-50-c.html?___store=serbian"," Pogledajte proizvod na sajtu -&gt;")</f>
        <v> Pogledajte proizvod na sajtu -&gt;</v>
      </c>
    </row>
    <row r="11" spans="1:6" ht="12.75">
      <c r="A11" s="2">
        <v>10</v>
      </c>
      <c r="B11" t="s">
        <v>4644</v>
      </c>
      <c r="C11" t="s">
        <v>4645</v>
      </c>
      <c r="D11" s="2">
        <v>41</v>
      </c>
      <c r="E11" s="2">
        <v>60</v>
      </c>
      <c r="F11" s="3" t="str">
        <f>HYPERLINK("http://www.sah.co.rs/bsq-001.html?___store=serbian"," Pogledajte proizvod na sajtu -&gt;")</f>
        <v> Pogledajte proizvod na sajtu -&gt;</v>
      </c>
    </row>
    <row r="12" spans="1:6" ht="12.75">
      <c r="A12" s="2">
        <v>11</v>
      </c>
      <c r="B12" t="s">
        <v>4646</v>
      </c>
      <c r="C12" t="s">
        <v>4647</v>
      </c>
      <c r="D12" s="2">
        <v>62</v>
      </c>
      <c r="E12" s="2">
        <v>45</v>
      </c>
      <c r="F12" s="3" t="str">
        <f>HYPERLINK("http://www.sah.co.rs/ttr-02.html?___store=serbian"," Pogledajte proizvod na sajtu -&gt;")</f>
        <v> Pogledajte proizvod na sajtu -&gt;</v>
      </c>
    </row>
    <row r="13" spans="1:6" ht="12.75">
      <c r="A13" s="2">
        <v>12</v>
      </c>
      <c r="B13" t="s">
        <v>4648</v>
      </c>
      <c r="C13" t="s">
        <v>4649</v>
      </c>
      <c r="D13" s="2">
        <v>52</v>
      </c>
      <c r="E13" s="2">
        <v>40</v>
      </c>
      <c r="F13" s="3" t="str">
        <f>HYPERLINK("http://www.sah.co.rs/aqz-025-24vdc.html?___store=serbian"," Pogledajte proizvod na sajtu -&gt;")</f>
        <v> Pogledajte proizvod na sajtu -&gt;</v>
      </c>
    </row>
    <row r="14" spans="1:6" ht="12.75">
      <c r="A14" s="2">
        <v>13</v>
      </c>
      <c r="B14" t="s">
        <v>4650</v>
      </c>
      <c r="C14" t="s">
        <v>4651</v>
      </c>
      <c r="D14" s="2">
        <v>16</v>
      </c>
      <c r="E14" s="2">
        <v>40</v>
      </c>
      <c r="F14" s="3" t="str">
        <f>HYPERLINK("http://www.sah.co.rs/aqz-025-220vac.html?___store=serbian","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7.7109375" style="0" customWidth="1"/>
    <col min="3" max="3" width="56.85156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4652</v>
      </c>
      <c r="C2" t="s">
        <v>4653</v>
      </c>
      <c r="D2" s="2">
        <v>442</v>
      </c>
      <c r="E2" s="2">
        <v>0.1</v>
      </c>
      <c r="F2" s="3" t="str">
        <f>HYPERLINK("http://www.sah.co.rs/pg7.html?___store=serbian"," Pogledajte proizvod na sajtu -&gt;")</f>
        <v> Pogledajte proizvod na sajtu -&gt;</v>
      </c>
    </row>
    <row r="3" spans="1:6" ht="12.75">
      <c r="A3" s="2">
        <v>2</v>
      </c>
      <c r="B3" t="s">
        <v>4654</v>
      </c>
      <c r="C3" t="s">
        <v>4655</v>
      </c>
      <c r="D3" s="2">
        <v>853</v>
      </c>
      <c r="E3" s="2">
        <v>0.12</v>
      </c>
      <c r="F3" s="3" t="str">
        <f>HYPERLINK("http://www.sah.co.rs/pg9.html?___store=serbian"," Pogledajte proizvod na sajtu -&gt;")</f>
        <v> Pogledajte proizvod na sajtu -&gt;</v>
      </c>
    </row>
    <row r="4" spans="1:6" ht="12.75">
      <c r="A4" s="2">
        <v>3</v>
      </c>
      <c r="B4" t="s">
        <v>4656</v>
      </c>
      <c r="C4" t="s">
        <v>4657</v>
      </c>
      <c r="D4" s="2">
        <v>156</v>
      </c>
      <c r="E4" s="2">
        <v>0.9</v>
      </c>
      <c r="F4" s="3" t="str">
        <f>HYPERLINK("http://www.sah.co.rs/pg36.html?___store=serbian"," Pogledajte proizvod na sajtu -&gt;")</f>
        <v> Pogledajte proizvod na sajtu -&gt;</v>
      </c>
    </row>
    <row r="5" spans="1:6" ht="12.75">
      <c r="A5" s="2">
        <v>4</v>
      </c>
      <c r="B5" t="s">
        <v>4658</v>
      </c>
      <c r="C5" t="s">
        <v>4659</v>
      </c>
      <c r="D5" s="2">
        <v>70</v>
      </c>
      <c r="E5" s="2">
        <v>1.4</v>
      </c>
      <c r="F5" s="3" t="str">
        <f>HYPERLINK("http://www.sah.co.rs/pg48.html?___store=serbian"," Pogledajte proizvod na sajtu -&gt;")</f>
        <v> Pogledajte proizvod na sajtu -&gt;</v>
      </c>
    </row>
    <row r="6" spans="1:6" ht="12.75">
      <c r="A6" s="2">
        <v>5</v>
      </c>
      <c r="B6" t="s">
        <v>4660</v>
      </c>
      <c r="C6" t="s">
        <v>4661</v>
      </c>
      <c r="D6" s="2">
        <v>886</v>
      </c>
      <c r="E6" s="2">
        <v>0.2</v>
      </c>
      <c r="F6" s="3" t="str">
        <f>HYPERLINK("http://www.sah.co.rs/pg11.html?___store=serbian"," Pogledajte proizvod na sajtu -&gt;")</f>
        <v> Pogledajte proizvod na sajtu -&gt;</v>
      </c>
    </row>
    <row r="7" spans="1:6" ht="12.75">
      <c r="A7" s="2">
        <v>6</v>
      </c>
      <c r="B7" t="s">
        <v>4662</v>
      </c>
      <c r="C7" t="s">
        <v>4663</v>
      </c>
      <c r="D7" s="2">
        <v>1665</v>
      </c>
      <c r="E7" s="2">
        <v>0.22</v>
      </c>
      <c r="F7" s="3" t="str">
        <f>HYPERLINK("http://www.sah.co.rs/pg13-5.html?___store=serbian"," Pogledajte proizvod na sajtu -&gt;")</f>
        <v> Pogledajte proizvod na sajtu -&gt;</v>
      </c>
    </row>
    <row r="8" spans="1:6" ht="12.75">
      <c r="A8" s="2">
        <v>7</v>
      </c>
      <c r="B8" t="s">
        <v>4664</v>
      </c>
      <c r="C8" t="s">
        <v>4665</v>
      </c>
      <c r="D8" s="2">
        <v>1355</v>
      </c>
      <c r="E8" s="2">
        <v>0.3</v>
      </c>
      <c r="F8" s="3" t="str">
        <f>HYPERLINK("http://www.sah.co.rs/pg16.html?___store=serbian"," Pogledajte proizvod na sajtu -&gt;")</f>
        <v> Pogledajte proizvod na sajtu -&gt;</v>
      </c>
    </row>
    <row r="9" spans="1:6" ht="12.75">
      <c r="A9" s="2">
        <v>8</v>
      </c>
      <c r="B9" t="s">
        <v>4666</v>
      </c>
      <c r="C9" t="s">
        <v>4667</v>
      </c>
      <c r="D9" s="2">
        <v>335</v>
      </c>
      <c r="E9" s="2">
        <v>0.35</v>
      </c>
      <c r="F9" s="3" t="str">
        <f>HYPERLINK("http://www.sah.co.rs/pg21.html?___store=serbian","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3.00390625" style="0" customWidth="1"/>
    <col min="3" max="3" width="72.003906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4668</v>
      </c>
      <c r="C2" t="s">
        <v>4669</v>
      </c>
      <c r="D2" s="2">
        <v>20</v>
      </c>
      <c r="E2" s="2">
        <v>450</v>
      </c>
      <c r="F2" s="3" t="str">
        <f>HYPERLINK("http://www.sah.co.rs/fs-2t-1-2x1-2.html?___store=serbian"," Pogledajte proizvod na sajtu -&gt;")</f>
        <v> Pogledajte proizvod na sajtu -&gt;</v>
      </c>
    </row>
    <row r="3" spans="1:6" ht="12.75">
      <c r="A3" s="2">
        <v>2</v>
      </c>
      <c r="B3" t="s">
        <v>4670</v>
      </c>
      <c r="C3" t="s">
        <v>4671</v>
      </c>
      <c r="D3" s="2">
        <v>20</v>
      </c>
      <c r="E3" s="2">
        <v>480</v>
      </c>
      <c r="F3" s="3" t="str">
        <f>HYPERLINK("http://www.sah.co.rs/fs-2t-1-2x1-5.html?___store=serbian"," Pogledajte proizvod na sajtu -&gt;")</f>
        <v> Pogledajte proizvod na sajtu -&gt;</v>
      </c>
    </row>
    <row r="4" spans="1:6" ht="12.75">
      <c r="A4" s="2">
        <v>3</v>
      </c>
      <c r="B4" t="s">
        <v>4672</v>
      </c>
      <c r="C4" t="s">
        <v>4673</v>
      </c>
      <c r="D4" s="2">
        <v>8</v>
      </c>
      <c r="E4" s="2">
        <v>520</v>
      </c>
      <c r="F4" s="3" t="str">
        <f>HYPERLINK("http://www.sah.co.rs/fs-3t-1-5x1-5.html?___store=serbian","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2.00390625" style="0" customWidth="1"/>
    <col min="3" max="3" width="55.71093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4674</v>
      </c>
      <c r="C2" t="s">
        <v>4675</v>
      </c>
      <c r="D2" s="2">
        <v>15</v>
      </c>
      <c r="E2" s="2">
        <v>75</v>
      </c>
      <c r="F2" s="3" t="str">
        <f>HYPERLINK("http://www.sah.co.rs/yzc-320c-2t.html?___store=serbian"," Pogledajte proizvod na sajtu -&gt;")</f>
        <v> Pogledajte proizvod na sajtu -&gt;</v>
      </c>
    </row>
    <row r="3" spans="1:6" ht="12.75">
      <c r="A3" s="2">
        <v>2</v>
      </c>
      <c r="B3" t="s">
        <v>4676</v>
      </c>
      <c r="C3" t="s">
        <v>4677</v>
      </c>
      <c r="D3" s="2">
        <v>4</v>
      </c>
      <c r="E3" s="2">
        <v>75</v>
      </c>
      <c r="F3" s="3" t="str">
        <f>HYPERLINK("http://www.sah.co.rs/yzc-320c-3t.html?___store=serbian"," Pogledajte proizvod na sajtu -&gt;")</f>
        <v> Pogledajte proizvod na sajtu -&gt;</v>
      </c>
    </row>
    <row r="4" spans="1:6" ht="12.75">
      <c r="A4" s="2">
        <v>3</v>
      </c>
      <c r="B4" t="s">
        <v>4678</v>
      </c>
      <c r="C4" t="s">
        <v>4679</v>
      </c>
      <c r="D4" s="2">
        <v>8</v>
      </c>
      <c r="E4" s="2">
        <v>100</v>
      </c>
      <c r="F4" s="3" t="str">
        <f>HYPERLINK("http://www.sah.co.rs/yhl-3.html?___store=serbian"," Pogledajte proizvod na sajtu -&gt;")</f>
        <v> Pogledajte proizvod na sajtu -&gt;</v>
      </c>
    </row>
    <row r="5" spans="1:6" ht="12.75">
      <c r="A5" s="2">
        <v>4</v>
      </c>
      <c r="B5" t="s">
        <v>4680</v>
      </c>
      <c r="C5" t="s">
        <v>4681</v>
      </c>
      <c r="D5" s="2">
        <v>3</v>
      </c>
      <c r="E5" s="2">
        <v>60</v>
      </c>
      <c r="F5" s="3" t="str">
        <f>HYPERLINK("http://www.sah.co.rs/a12e.html?___store=serbian"," Pogledajte proizvod na sajtu -&gt;")</f>
        <v> Pogledajte proizvod na sajtu -&gt;</v>
      </c>
    </row>
    <row r="6" spans="1:6" ht="12.75">
      <c r="A6" s="2">
        <v>5</v>
      </c>
      <c r="B6" t="s">
        <v>4682</v>
      </c>
      <c r="C6" t="s">
        <v>4683</v>
      </c>
      <c r="D6" s="2">
        <v>20</v>
      </c>
      <c r="E6" s="2">
        <v>15</v>
      </c>
      <c r="F6" s="3" t="str">
        <f>HYPERLINK("http://www.sah.co.rs/stopa-m16.html?___store=serbian","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20.7109375" style="0" customWidth="1"/>
    <col min="3" max="3" width="40.1406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4684</v>
      </c>
      <c r="C2" t="s">
        <v>4685</v>
      </c>
      <c r="D2" s="2">
        <v>335</v>
      </c>
      <c r="E2" s="2">
        <v>8</v>
      </c>
      <c r="F2" s="3" t="str">
        <f>HYPERLINK("http://www.sah.co.rs/ds12038abhl-230vac.html?___store=serbian"," Pogledajte proizvod na sajtu -&gt;")</f>
        <v> Pogledajte proizvod na sajtu -&gt;</v>
      </c>
    </row>
    <row r="3" spans="1:6" ht="12.75">
      <c r="A3" s="2">
        <v>2</v>
      </c>
      <c r="B3" t="s">
        <v>4686</v>
      </c>
      <c r="C3" t="s">
        <v>4687</v>
      </c>
      <c r="D3" s="2">
        <v>63</v>
      </c>
      <c r="E3" s="2">
        <v>8</v>
      </c>
      <c r="F3" s="3" t="str">
        <f>HYPERLINK("http://www.sah.co.rs/ds12038b.html?___store=serbian"," Pogledajte proizvod na sajtu -&gt;")</f>
        <v> Pogledajte proizvod na sajtu -&gt;</v>
      </c>
    </row>
    <row r="4" spans="1:6" ht="12.75">
      <c r="A4" s="2">
        <v>3</v>
      </c>
      <c r="B4" t="s">
        <v>4688</v>
      </c>
      <c r="C4" t="s">
        <v>4689</v>
      </c>
      <c r="D4" s="2">
        <v>3</v>
      </c>
      <c r="E4" s="2">
        <v>10</v>
      </c>
      <c r="F4" s="3" t="str">
        <f>HYPERLINK("http://www.sah.co.rs/mec0382v1-000u-a99.html?___store=serbian"," Pogledajte proizvod na sajtu -&gt;")</f>
        <v> Pogledajte proizvod na sajtu -&gt;</v>
      </c>
    </row>
    <row r="5" spans="1:6" ht="12.75">
      <c r="A5" s="2">
        <v>4</v>
      </c>
      <c r="B5" t="s">
        <v>4690</v>
      </c>
      <c r="C5" t="s">
        <v>4691</v>
      </c>
      <c r="D5" s="2">
        <v>78</v>
      </c>
      <c r="E5" s="2">
        <v>8</v>
      </c>
      <c r="F5" s="3" t="str">
        <f>HYPERLINK("http://www.sah.co.rs/ds12038abhl-380vac.html?___store=serbian"," Pogledajte proizvod na sajtu -&gt;")</f>
        <v> Pogledajte proizvod na sajtu -&gt;</v>
      </c>
    </row>
    <row r="6" spans="1:6" ht="12.75">
      <c r="A6" s="2">
        <v>5</v>
      </c>
      <c r="B6" t="s">
        <v>4692</v>
      </c>
      <c r="C6" t="s">
        <v>4693</v>
      </c>
      <c r="D6" s="2">
        <v>77</v>
      </c>
      <c r="E6" s="2">
        <v>13</v>
      </c>
      <c r="F6" s="3" t="str">
        <f>HYPERLINK("http://www.sah.co.rs/ds15051abhl.html?___store=serbian"," Pogledajte proizvod na sajtu -&gt;")</f>
        <v> Pogledajte proizvod na sajtu -&gt;</v>
      </c>
    </row>
    <row r="7" spans="1:6" ht="12.75">
      <c r="A7" s="2">
        <v>6</v>
      </c>
      <c r="B7" t="s">
        <v>4694</v>
      </c>
      <c r="C7" t="s">
        <v>4693</v>
      </c>
      <c r="D7" s="2">
        <v>75</v>
      </c>
      <c r="E7" s="2">
        <v>13</v>
      </c>
      <c r="F7" s="3" t="str">
        <f>HYPERLINK("http://www.sah.co.rs/ds1552abhl.html?___store=serbian"," Pogledajte proizvod na sajtu -&gt;")</f>
        <v> Pogledajte proizvod na sajtu -&gt;</v>
      </c>
    </row>
    <row r="8" spans="1:6" ht="12.75">
      <c r="A8" s="2">
        <v>7</v>
      </c>
      <c r="B8" t="s">
        <v>4695</v>
      </c>
      <c r="C8" t="s">
        <v>4696</v>
      </c>
      <c r="D8" s="2">
        <v>32</v>
      </c>
      <c r="E8" s="2">
        <v>40</v>
      </c>
      <c r="F8" s="3" t="str">
        <f>HYPERLINK("http://www.sah.co.rs/130flj1.html?___store=serbian"," Pogledajte proizvod na sajtu -&gt;")</f>
        <v> Pogledajte proizvod na sajtu -&gt;</v>
      </c>
    </row>
    <row r="9" spans="1:6" ht="12.75">
      <c r="A9" s="2">
        <v>8</v>
      </c>
      <c r="B9" t="s">
        <v>4697</v>
      </c>
      <c r="C9" t="s">
        <v>4698</v>
      </c>
      <c r="D9" s="2">
        <v>40</v>
      </c>
      <c r="E9" s="2">
        <v>25</v>
      </c>
      <c r="F9" s="3" t="str">
        <f>HYPERLINK("http://www.sah.co.rs/ds20060abhl.html?___store=serbian"," Pogledajte proizvod na sajtu -&gt;")</f>
        <v> Pogledajte proizvod na sajtu -&gt;</v>
      </c>
    </row>
    <row r="10" spans="1:6" ht="12.75">
      <c r="A10" s="2">
        <v>9</v>
      </c>
      <c r="B10" t="s">
        <v>4699</v>
      </c>
      <c r="C10" t="s">
        <v>4700</v>
      </c>
      <c r="D10" s="2">
        <v>39</v>
      </c>
      <c r="E10" s="2">
        <v>50</v>
      </c>
      <c r="F10" s="3" t="str">
        <f>HYPERLINK("http://www.sah.co.rs/ds22580mab.html?___store=serbian"," Pogledajte proizvod na sajtu -&gt;")</f>
        <v> Pogledajte proizvod na sajtu -&gt;</v>
      </c>
    </row>
    <row r="11" spans="1:6" ht="12.75">
      <c r="A11" s="2">
        <v>10</v>
      </c>
      <c r="B11" t="s">
        <v>4701</v>
      </c>
      <c r="C11" t="s">
        <v>4702</v>
      </c>
      <c r="D11" s="2">
        <v>34</v>
      </c>
      <c r="E11" s="2">
        <v>60</v>
      </c>
      <c r="F11" s="3" t="str">
        <f>HYPERLINK("http://www.sah.co.rs/ds28083abhl.html?___store=serbian"," Pogledajte proizvod na sajtu -&gt;")</f>
        <v> Pogledajte proizvod na sajtu -&gt;</v>
      </c>
    </row>
    <row r="12" spans="1:6" ht="12.75">
      <c r="A12" s="2">
        <v>11</v>
      </c>
      <c r="B12" t="s">
        <v>4703</v>
      </c>
      <c r="C12" t="s">
        <v>4704</v>
      </c>
      <c r="D12" s="2">
        <v>7</v>
      </c>
      <c r="E12" s="2">
        <v>90</v>
      </c>
      <c r="F12" s="3" t="str">
        <f>HYPERLINK("http://www.sah.co.rs/ywf-4e-350-s.html?___store=serbian"," Pogledajte proizvod na sajtu -&gt;")</f>
        <v> Pogledajte proizvod na sajtu -&gt;</v>
      </c>
    </row>
    <row r="13" spans="1:6" ht="12.75">
      <c r="A13" s="2">
        <v>12</v>
      </c>
      <c r="B13" t="s">
        <v>4705</v>
      </c>
      <c r="C13" t="s">
        <v>4706</v>
      </c>
      <c r="D13" s="2">
        <v>10</v>
      </c>
      <c r="E13" s="2">
        <v>100</v>
      </c>
      <c r="F13" s="3" t="str">
        <f>HYPERLINK("http://www.sah.co.rs/ywf-4e-400-s.html?___store=serbian"," Pogledajte proizvod na sajtu -&gt;")</f>
        <v> Pogledajte proizvod na sajtu -&gt;</v>
      </c>
    </row>
    <row r="14" spans="1:6" ht="12.75">
      <c r="A14" s="2">
        <v>13</v>
      </c>
      <c r="B14" t="s">
        <v>4707</v>
      </c>
      <c r="C14" t="s">
        <v>4708</v>
      </c>
      <c r="D14" s="2">
        <v>3</v>
      </c>
      <c r="E14" s="2">
        <v>160</v>
      </c>
      <c r="F14" s="3" t="str">
        <f>HYPERLINK("http://www.sah.co.rs/ywf-4e-500-b.html?___store=serbian"," Pogledajte proizvod na sajtu -&gt;")</f>
        <v> Pogledajte proizvod na sajtu -&gt;</v>
      </c>
    </row>
    <row r="15" spans="1:6" ht="12.75">
      <c r="A15" s="2">
        <v>14</v>
      </c>
      <c r="B15" t="s">
        <v>4709</v>
      </c>
      <c r="C15" t="s">
        <v>4710</v>
      </c>
      <c r="D15" s="2">
        <v>10</v>
      </c>
      <c r="E15" s="2">
        <v>160</v>
      </c>
      <c r="F15" s="3" t="str">
        <f>HYPERLINK("http://www.sah.co.rs/ywf-4e-500-s.html?___store=serbian"," Pogledajte proizvod na sajtu -&gt;")</f>
        <v> Pogledajte proizvod na sajtu -&gt;</v>
      </c>
    </row>
    <row r="16" spans="1:6" ht="12.75">
      <c r="A16" s="2">
        <v>15</v>
      </c>
      <c r="B16" t="s">
        <v>4711</v>
      </c>
      <c r="C16" t="s">
        <v>4712</v>
      </c>
      <c r="D16" s="2">
        <v>5</v>
      </c>
      <c r="E16" s="2">
        <v>160</v>
      </c>
      <c r="F16" s="3" t="str">
        <f>HYPERLINK("http://www.sah.co.rs/ywf-4d-500-s.html?___store=serbian"," Pogledajte proizvod na sajtu -&gt;")</f>
        <v> Pogledajte proizvod na sajtu -&gt;</v>
      </c>
    </row>
    <row r="17" spans="1:6" ht="12.75">
      <c r="A17" s="2">
        <v>16</v>
      </c>
      <c r="B17" t="s">
        <v>4713</v>
      </c>
      <c r="C17" t="s">
        <v>4714</v>
      </c>
      <c r="D17" s="2">
        <v>99</v>
      </c>
      <c r="E17" s="2">
        <v>3</v>
      </c>
      <c r="F17" s="3" t="str">
        <f>HYPERLINK("http://www.sah.co.rs/mj6025.html?___store=serbian"," Pogledajte proizvod na sajtu -&gt;")</f>
        <v> Pogledajte proizvod na sajtu -&gt;</v>
      </c>
    </row>
    <row r="18" spans="1:6" ht="12.75">
      <c r="A18" s="2">
        <v>17</v>
      </c>
      <c r="B18" t="s">
        <v>4715</v>
      </c>
      <c r="C18" t="s">
        <v>4716</v>
      </c>
      <c r="D18" s="2">
        <v>38</v>
      </c>
      <c r="E18" s="2">
        <v>2.5</v>
      </c>
      <c r="F18" s="3" t="str">
        <f>HYPERLINK("http://www.sah.co.rs/ds-6020.html?___store=serbian"," Pogledajte proizvod na sajtu -&gt;")</f>
        <v> Pogledajte proizvod na sajtu -&gt;</v>
      </c>
    </row>
    <row r="19" spans="1:6" ht="12.75">
      <c r="A19" s="2">
        <v>18</v>
      </c>
      <c r="B19" t="s">
        <v>4717</v>
      </c>
      <c r="C19" t="s">
        <v>4718</v>
      </c>
      <c r="D19" s="2">
        <v>34</v>
      </c>
      <c r="E19" s="2">
        <v>2.5</v>
      </c>
      <c r="F19" s="3" t="str">
        <f>HYPERLINK("http://www.sah.co.rs/ds-6025.html?___store=serbian"," Pogledajte proizvod na sajtu -&gt;")</f>
        <v> Pogledajte proizvod na sajtu -&gt;</v>
      </c>
    </row>
    <row r="20" spans="1:6" ht="12.75">
      <c r="A20" s="2">
        <v>19</v>
      </c>
      <c r="B20" t="s">
        <v>4719</v>
      </c>
      <c r="C20" t="s">
        <v>4720</v>
      </c>
      <c r="D20" s="2">
        <v>54</v>
      </c>
      <c r="E20" s="2">
        <v>6</v>
      </c>
      <c r="F20" s="3" t="str">
        <f>HYPERLINK("http://www.sah.co.rs/ds8025abhl.html?___store=serbian"," Pogledajte proizvod na sajtu -&gt;")</f>
        <v> Pogledajte proizvod na sajtu -&gt;</v>
      </c>
    </row>
    <row r="21" spans="1:6" ht="12.75">
      <c r="A21" s="2">
        <v>20</v>
      </c>
      <c r="B21" t="s">
        <v>4721</v>
      </c>
      <c r="C21" t="s">
        <v>4720</v>
      </c>
      <c r="D21" s="2">
        <v>152</v>
      </c>
      <c r="E21" s="2">
        <v>7</v>
      </c>
      <c r="F21" s="3" t="str">
        <f>HYPERLINK("http://www.sah.co.rs/ds8038abhl.html?___store=serbian"," Pogledajte proizvod na sajtu -&gt;")</f>
        <v> Pogledajte proizvod na sajtu -&gt;</v>
      </c>
    </row>
    <row r="22" spans="1:6" ht="12.75">
      <c r="A22" s="2">
        <v>21</v>
      </c>
      <c r="B22" t="s">
        <v>4722</v>
      </c>
      <c r="C22" t="s">
        <v>4723</v>
      </c>
      <c r="D22" s="2">
        <v>48</v>
      </c>
      <c r="E22" s="2">
        <v>4.5</v>
      </c>
      <c r="F22" s="3" t="str">
        <f>HYPERLINK("http://www.sah.co.rs/ds-8025b.html?___store=serbian","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9.421875" style="0" customWidth="1"/>
    <col min="3" max="3" width="53.1406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4724</v>
      </c>
      <c r="C2" t="s">
        <v>4725</v>
      </c>
      <c r="D2" s="2">
        <v>325</v>
      </c>
      <c r="E2" s="2">
        <v>5</v>
      </c>
      <c r="F2" s="3" t="str">
        <f>HYPERLINK("http://www.sah.co.rs/zl-803.html?___store=serbian"," Pogledajte proizvod na sajtu -&gt;")</f>
        <v> Pogledajte proizvod na sajtu -&gt;</v>
      </c>
    </row>
    <row r="3" spans="1:6" ht="12.75">
      <c r="A3" s="2">
        <v>2</v>
      </c>
      <c r="B3" t="s">
        <v>4726</v>
      </c>
      <c r="C3" t="s">
        <v>4727</v>
      </c>
      <c r="D3" s="2">
        <v>87</v>
      </c>
      <c r="E3" s="2">
        <v>10</v>
      </c>
      <c r="F3" s="3" t="str">
        <f>HYPERLINK("http://www.sah.co.rs/zl-256.html?___store=serbian"," Pogledajte proizvod na sajtu -&gt;")</f>
        <v> Pogledajte proizvod na sajtu -&gt;</v>
      </c>
    </row>
    <row r="4" spans="1:6" ht="12.75">
      <c r="A4" s="2">
        <v>3</v>
      </c>
      <c r="B4" t="s">
        <v>4728</v>
      </c>
      <c r="C4" t="s">
        <v>4729</v>
      </c>
      <c r="D4" s="2">
        <v>64</v>
      </c>
      <c r="E4" s="2">
        <v>3</v>
      </c>
      <c r="F4" s="3" t="str">
        <f>HYPERLINK("http://www.sah.co.rs/fk2200.html?___store=serbian"," Pogledajte proizvod na sajtu -&gt;")</f>
        <v> Pogledajte proizvod na sajtu -&gt;</v>
      </c>
    </row>
    <row r="5" spans="1:6" ht="12.75">
      <c r="A5" s="2">
        <v>4</v>
      </c>
      <c r="B5" t="s">
        <v>4730</v>
      </c>
      <c r="C5" t="s">
        <v>4731</v>
      </c>
      <c r="D5" s="2">
        <v>288</v>
      </c>
      <c r="E5" s="2">
        <v>1</v>
      </c>
      <c r="F5" s="3" t="str">
        <f>HYPERLINK("http://www.sah.co.rs/fk2120.html?___store=serbian"," Pogledajte proizvod na sajtu -&gt;")</f>
        <v> Pogledajte proizvod na sajtu -&gt;</v>
      </c>
    </row>
    <row r="6" spans="1:6" ht="12.75">
      <c r="A6" s="2">
        <v>5</v>
      </c>
      <c r="B6" t="s">
        <v>4732</v>
      </c>
      <c r="C6" t="s">
        <v>4733</v>
      </c>
      <c r="D6" s="2">
        <v>1593</v>
      </c>
      <c r="E6" s="2">
        <v>0.8</v>
      </c>
      <c r="F6" s="3" t="str">
        <f>HYPERLINK("http://www.sah.co.rs/fg-12.html?___store=serbian"," Pogledajte proizvod na sajtu -&gt;")</f>
        <v> Pogledajte proizvod na sajtu -&gt;</v>
      </c>
    </row>
    <row r="7" spans="1:6" ht="12.75">
      <c r="A7" s="2">
        <v>6</v>
      </c>
      <c r="B7" t="s">
        <v>4734</v>
      </c>
      <c r="C7" t="s">
        <v>4735</v>
      </c>
      <c r="D7" s="2">
        <v>66</v>
      </c>
      <c r="E7" s="2">
        <v>1.2</v>
      </c>
      <c r="F7" s="3" t="str">
        <f>HYPERLINK("http://www.sah.co.rs/fg-150.html?___store=serbian"," Pogledajte proizvod na sajtu -&gt;")</f>
        <v> Pogledajte proizvod na sajtu -&gt;</v>
      </c>
    </row>
    <row r="8" spans="1:6" ht="12.75">
      <c r="A8" s="2">
        <v>7</v>
      </c>
      <c r="B8" t="s">
        <v>4736</v>
      </c>
      <c r="C8" t="s">
        <v>4737</v>
      </c>
      <c r="D8" s="2">
        <v>23</v>
      </c>
      <c r="E8" s="2">
        <v>1.5</v>
      </c>
      <c r="F8" s="3" t="str">
        <f>HYPERLINK("http://www.sah.co.rs/fg-200.html?___store=serbian"," Pogledajte proizvod na sajtu -&gt;")</f>
        <v> Pogledajte proizvod na sajtu -&gt;</v>
      </c>
    </row>
    <row r="9" spans="1:6" ht="12.75">
      <c r="A9" s="2">
        <v>8</v>
      </c>
      <c r="B9" t="s">
        <v>4738</v>
      </c>
      <c r="C9" t="s">
        <v>4739</v>
      </c>
      <c r="D9" s="2">
        <v>93</v>
      </c>
      <c r="E9" s="2">
        <v>4</v>
      </c>
      <c r="F9" s="3" t="str">
        <f>HYPERLINK("http://www.sah.co.rs/fg-250.html?___store=serbian"," Pogledajte proizvod na sajtu -&gt;")</f>
        <v> Pogledajte proizvod na sajtu -&gt;</v>
      </c>
    </row>
    <row r="10" spans="1:6" ht="12.75">
      <c r="A10" s="2">
        <v>9</v>
      </c>
      <c r="B10" t="s">
        <v>4740</v>
      </c>
      <c r="C10" t="s">
        <v>4741</v>
      </c>
      <c r="D10" s="2">
        <v>207</v>
      </c>
      <c r="E10" s="2">
        <v>0.6</v>
      </c>
      <c r="F10" s="3" t="str">
        <f>HYPERLINK("http://www.sah.co.rs/fg-08.html?___store=serbian"," Pogledajte proizvod na sajtu -&gt;")</f>
        <v> Pogledajte proizvod na sajtu -&gt;</v>
      </c>
    </row>
    <row r="11" spans="1:6" ht="12.75">
      <c r="A11" s="2">
        <v>10</v>
      </c>
      <c r="B11" t="s">
        <v>4742</v>
      </c>
      <c r="C11" t="s">
        <v>4743</v>
      </c>
      <c r="D11" s="2">
        <v>748</v>
      </c>
      <c r="E11" s="2">
        <v>0.16</v>
      </c>
      <c r="F11" s="3" t="str">
        <f>HYPERLINK("http://www.sah.co.rs/fk2120-f.html?___store=serbian"," Pogledajte proizvod na sajtu -&gt;")</f>
        <v> Pogledajte proizvod na sajtu -&gt;</v>
      </c>
    </row>
    <row r="12" spans="1:6" ht="12.75">
      <c r="A12" s="2">
        <v>11</v>
      </c>
      <c r="B12" t="s">
        <v>4744</v>
      </c>
      <c r="C12" t="s">
        <v>4745</v>
      </c>
      <c r="D12" s="2">
        <v>229</v>
      </c>
      <c r="E12" s="2">
        <v>0.25</v>
      </c>
      <c r="F12" s="3" t="str">
        <f>HYPERLINK("http://www.sah.co.rs/fk2200-f.html?___store=serbian"," Pogledajte proizvod na sajtu -&gt;")</f>
        <v> Pogledajte proizvod na sajtu -&gt;</v>
      </c>
    </row>
    <row r="13" spans="1:6" ht="12.75">
      <c r="A13" s="2">
        <v>12</v>
      </c>
      <c r="B13" t="s">
        <v>4746</v>
      </c>
      <c r="C13" t="s">
        <v>4747</v>
      </c>
      <c r="D13" s="2">
        <v>499</v>
      </c>
      <c r="E13" s="2">
        <v>0.8</v>
      </c>
      <c r="F13" s="3" t="str">
        <f>HYPERLINK("http://www.sah.co.rs/zl-256-f.html?___store=serbian","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28.140625" style="0" customWidth="1"/>
    <col min="3" max="3" width="75.574218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4748</v>
      </c>
      <c r="C2" t="s">
        <v>4749</v>
      </c>
      <c r="D2" s="2">
        <v>3</v>
      </c>
      <c r="E2" s="2">
        <v>200</v>
      </c>
      <c r="F2" s="3" t="str">
        <f>HYPERLINK("http://www.sah.co.rs/sqd80-1-5l-24k-er11-220vac.html?___store=serbian"," Pogledajte proizvod na sajtu -&gt;")</f>
        <v> Pogledajte proizvod na sajtu -&gt;</v>
      </c>
    </row>
    <row r="3" spans="1:6" ht="12.75">
      <c r="A3" s="2">
        <v>2</v>
      </c>
      <c r="B3" t="s">
        <v>4750</v>
      </c>
      <c r="C3" t="s">
        <v>4751</v>
      </c>
      <c r="D3" s="2">
        <v>16</v>
      </c>
      <c r="E3" s="2">
        <v>220</v>
      </c>
      <c r="F3" s="3" t="str">
        <f>HYPERLINK("http://www.sah.co.rs/tdk-1-5c-24k-er16-220vac.html?___store=serbian"," Pogledajte proizvod na sajtu -&gt;")</f>
        <v> Pogledajte proizvod na sajtu -&gt;</v>
      </c>
    </row>
    <row r="4" spans="1:6" ht="12.75">
      <c r="A4" s="2">
        <v>3</v>
      </c>
      <c r="B4" t="s">
        <v>4752</v>
      </c>
      <c r="C4" t="s">
        <v>4753</v>
      </c>
      <c r="D4" s="2">
        <v>4</v>
      </c>
      <c r="E4" s="2">
        <v>300</v>
      </c>
      <c r="F4" s="3" t="str">
        <f>HYPERLINK("http://www.sah.co.rs/tdk80-2-2-24k-er16-220vac.html?___store=serbian"," Pogledajte proizvod na sajtu -&gt;")</f>
        <v> Pogledajte proizvod na sajtu -&gt;</v>
      </c>
    </row>
    <row r="5" spans="1:6" ht="12.75">
      <c r="A5" s="2">
        <v>4</v>
      </c>
      <c r="B5" t="s">
        <v>4754</v>
      </c>
      <c r="C5" t="s">
        <v>4755</v>
      </c>
      <c r="D5" s="2">
        <v>9</v>
      </c>
      <c r="E5" s="2">
        <v>300</v>
      </c>
      <c r="F5" s="3" t="str">
        <f>HYPERLINK("http://www.sah.co.rs/tdk80-2-2-24k-er20-220vac.html?___store=serbian"," Pogledajte proizvod na sajtu -&gt;")</f>
        <v> Pogledajte proizvod na sajtu -&gt;</v>
      </c>
    </row>
    <row r="6" spans="1:6" ht="12.75">
      <c r="A6" s="2">
        <v>5</v>
      </c>
      <c r="B6" t="s">
        <v>4756</v>
      </c>
      <c r="C6" t="s">
        <v>4757</v>
      </c>
      <c r="D6" s="2">
        <v>3</v>
      </c>
      <c r="E6" s="2">
        <v>360</v>
      </c>
      <c r="F6" s="3" t="str">
        <f>HYPERLINK("http://www.sah.co.rs/sqd80-2-2t-24k-er20-220vac.html?___store=serbian"," Pogledajte proizvod na sajtu -&gt;")</f>
        <v> Pogledajte proizvod na sajtu -&gt;</v>
      </c>
    </row>
    <row r="7" spans="1:6" ht="12.75">
      <c r="A7" s="2">
        <v>6</v>
      </c>
      <c r="B7" t="s">
        <v>4758</v>
      </c>
      <c r="C7" t="s">
        <v>4759</v>
      </c>
      <c r="D7" s="2">
        <v>5</v>
      </c>
      <c r="E7" s="2">
        <v>300</v>
      </c>
      <c r="F7" s="3" t="str">
        <f>HYPERLINK("http://www.sah.co.rs/tdk80-2-2-24k-er20-380vac.html?___store=serbian"," Pogledajte proizvod na sajtu -&gt;")</f>
        <v> Pogledajte proizvod na sajtu -&gt;</v>
      </c>
    </row>
    <row r="8" spans="1:6" ht="12.75">
      <c r="A8" s="2">
        <v>7</v>
      </c>
      <c r="B8" t="s">
        <v>4760</v>
      </c>
      <c r="C8" t="s">
        <v>4761</v>
      </c>
      <c r="D8" s="2">
        <v>4</v>
      </c>
      <c r="E8" s="2">
        <v>450</v>
      </c>
      <c r="F8" s="3" t="str">
        <f>HYPERLINK("http://www.sah.co.rs/gdz-100-3-0-er20-220vac.html?___store=serbian"," Pogledajte proizvod na sajtu -&gt;")</f>
        <v> Pogledajte proizvod na sajtu -&gt;</v>
      </c>
    </row>
    <row r="9" spans="1:6" ht="12.75">
      <c r="A9" s="2">
        <v>8</v>
      </c>
      <c r="B9" t="s">
        <v>4762</v>
      </c>
      <c r="C9" t="s">
        <v>4763</v>
      </c>
      <c r="D9" s="2">
        <v>7</v>
      </c>
      <c r="E9" s="2">
        <v>450</v>
      </c>
      <c r="F9" s="3" t="str">
        <f>HYPERLINK("http://www.sah.co.rs/tdk100-3-2b-24k-er20-380vac.html?___store=serbian"," Pogledajte proizvod na sajtu -&gt;")</f>
        <v> Pogledajte proizvod na sajtu -&gt;</v>
      </c>
    </row>
    <row r="10" spans="1:6" ht="12.75">
      <c r="A10" s="2">
        <v>9</v>
      </c>
      <c r="B10" t="s">
        <v>4764</v>
      </c>
      <c r="C10" t="s">
        <v>4765</v>
      </c>
      <c r="D10" s="2">
        <v>2</v>
      </c>
      <c r="E10" s="2">
        <v>720</v>
      </c>
      <c r="F10" s="3" t="str">
        <f>HYPERLINK("http://www.sah.co.rs/tdk93x82-3-5-er25-380vac.html?___store=serbian"," Pogledajte proizvod na sajtu -&gt;")</f>
        <v> Pogledajte proizvod na sajtu -&gt;</v>
      </c>
    </row>
    <row r="11" spans="1:6" ht="12.75">
      <c r="A11" s="2">
        <v>10</v>
      </c>
      <c r="B11" t="s">
        <v>4766</v>
      </c>
      <c r="C11" t="s">
        <v>4767</v>
      </c>
      <c r="D11" s="2">
        <v>2</v>
      </c>
      <c r="E11" s="2">
        <v>900</v>
      </c>
      <c r="F11" s="3" t="str">
        <f>HYPERLINK("http://www.sah.co.rs/tdk120x103-4-5-er32-380vac.html?___store=serbian"," Pogledajte proizvod na sajtu -&gt;")</f>
        <v> Pogledajte proizvod na sajtu -&gt;</v>
      </c>
    </row>
    <row r="12" spans="1:6" ht="12.75">
      <c r="A12" s="2">
        <v>11</v>
      </c>
      <c r="B12" t="s">
        <v>4768</v>
      </c>
      <c r="C12" t="s">
        <v>4769</v>
      </c>
      <c r="D12" s="2">
        <v>3</v>
      </c>
      <c r="E12" s="2">
        <v>1000</v>
      </c>
      <c r="F12" s="3" t="str">
        <f>HYPERLINK("http://www.sah.co.rs/tdk120x103-6-er32-380vac.html?___store=serbian","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15.421875" style="0" customWidth="1"/>
    <col min="3" max="3" width="50.0039062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4770</v>
      </c>
      <c r="C2" t="s">
        <v>4771</v>
      </c>
      <c r="D2" s="2">
        <v>11</v>
      </c>
      <c r="E2" s="2">
        <v>3</v>
      </c>
      <c r="F2" s="3" t="str">
        <f>HYPERLINK("http://www.sah.co.rs/er11a.html?___store=serbian"," Pogledajte proizvod na sajtu -&gt;")</f>
        <v> Pogledajte proizvod na sajtu -&gt;</v>
      </c>
    </row>
    <row r="3" spans="1:6" ht="12.75">
      <c r="A3" s="2">
        <v>2</v>
      </c>
      <c r="B3" t="s">
        <v>4772</v>
      </c>
      <c r="C3" t="s">
        <v>4773</v>
      </c>
      <c r="D3" s="2">
        <v>18</v>
      </c>
      <c r="E3" s="2">
        <v>3.2</v>
      </c>
      <c r="F3" s="3" t="str">
        <f>HYPERLINK("http://www.sah.co.rs/er16a.html?___store=serbian"," Pogledajte proizvod na sajtu -&gt;")</f>
        <v> Pogledajte proizvod na sajtu -&gt;</v>
      </c>
    </row>
    <row r="4" spans="1:6" ht="12.75">
      <c r="A4" s="2">
        <v>3</v>
      </c>
      <c r="B4" t="s">
        <v>4774</v>
      </c>
      <c r="C4" t="s">
        <v>4775</v>
      </c>
      <c r="D4" s="2">
        <v>27</v>
      </c>
      <c r="E4" s="2">
        <v>4</v>
      </c>
      <c r="F4" s="3" t="str">
        <f>HYPERLINK("http://www.sah.co.rs/er20a.html?___store=serbian"," Pogledajte proizvod na sajtu -&gt;")</f>
        <v> Pogledajte proizvod na sajtu -&gt;</v>
      </c>
    </row>
    <row r="5" spans="1:6" ht="12.75">
      <c r="A5" s="2">
        <v>4</v>
      </c>
      <c r="B5" t="s">
        <v>4776</v>
      </c>
      <c r="C5" t="s">
        <v>4777</v>
      </c>
      <c r="D5" s="2">
        <v>8</v>
      </c>
      <c r="E5" s="2">
        <v>5</v>
      </c>
      <c r="F5" s="3" t="str">
        <f>HYPERLINK("http://www.sah.co.rs/er25um.html?___store=serbian"," Pogledajte proizvod na sajtu -&gt;")</f>
        <v> Pogledajte proizvod na sajtu -&gt;</v>
      </c>
    </row>
    <row r="6" spans="1:6" ht="12.75">
      <c r="A6" s="2">
        <v>5</v>
      </c>
      <c r="B6" t="s">
        <v>4778</v>
      </c>
      <c r="C6" t="s">
        <v>4779</v>
      </c>
      <c r="D6" s="2">
        <v>8</v>
      </c>
      <c r="E6" s="2">
        <v>6</v>
      </c>
      <c r="F6" s="3" t="str">
        <f>HYPERLINK("http://www.sah.co.rs/er32um.html?___store=serbian"," Pogledajte proizvod na sajtu -&gt;")</f>
        <v> Pogledajte proizvod na sajtu -&gt;</v>
      </c>
    </row>
    <row r="7" spans="1:6" ht="12.75">
      <c r="A7" s="2">
        <v>6</v>
      </c>
      <c r="B7" t="s">
        <v>4780</v>
      </c>
      <c r="C7" t="s">
        <v>4781</v>
      </c>
      <c r="D7" s="2">
        <v>19</v>
      </c>
      <c r="E7" s="2">
        <v>8</v>
      </c>
      <c r="F7" s="3" t="str">
        <f>HYPERLINK("http://www.sah.co.rs/h20-4p.html?___store=serbian"," Pogledajte proizvod na sajtu -&gt;")</f>
        <v> Pogledajte proizvod na sajtu -&gt;</v>
      </c>
    </row>
    <row r="8" spans="1:6" ht="12.75">
      <c r="A8" s="2">
        <v>7</v>
      </c>
      <c r="B8" t="s">
        <v>4782</v>
      </c>
      <c r="C8" t="s">
        <v>4783</v>
      </c>
      <c r="D8" s="2">
        <v>9</v>
      </c>
      <c r="E8" s="2">
        <v>20</v>
      </c>
      <c r="F8" s="3" t="str">
        <f>HYPERLINK("http://www.sah.co.rs/dust-cover-100mm.html?___store=serbian"," Pogledajte proizvod na sajtu -&gt;")</f>
        <v> Pogledajte proizvod na sajtu -&gt;</v>
      </c>
    </row>
    <row r="9" spans="1:6" ht="12.75">
      <c r="A9" s="2">
        <v>8</v>
      </c>
      <c r="B9" t="s">
        <v>4784</v>
      </c>
      <c r="C9" t="s">
        <v>4785</v>
      </c>
      <c r="D9" s="2">
        <v>19</v>
      </c>
      <c r="E9" s="2">
        <v>18</v>
      </c>
      <c r="F9" s="3" t="str">
        <f>HYPERLINK("http://www.sah.co.rs/dust-cover-65mm.html?___store=serbian"," Pogledajte proizvod na sajtu -&gt;")</f>
        <v> Pogledajte proizvod na sajtu -&gt;</v>
      </c>
    </row>
    <row r="10" spans="1:6" ht="12.75">
      <c r="A10" s="2">
        <v>9</v>
      </c>
      <c r="B10" t="s">
        <v>4786</v>
      </c>
      <c r="C10" t="s">
        <v>4787</v>
      </c>
      <c r="D10" s="2">
        <v>35</v>
      </c>
      <c r="E10" s="2">
        <v>18</v>
      </c>
      <c r="F10" s="3" t="str">
        <f>HYPERLINK("http://www.sah.co.rs/dust-cover-80mm.html?___store=serbian"," Pogledajte proizvod na sajtu -&gt;")</f>
        <v> Pogledajte proizvod na sajtu -&gt;</v>
      </c>
    </row>
    <row r="11" spans="1:6" ht="12.75">
      <c r="A11" s="2">
        <v>10</v>
      </c>
      <c r="B11" t="s">
        <v>4788</v>
      </c>
      <c r="C11" t="s">
        <v>4789</v>
      </c>
      <c r="D11" s="2">
        <v>10</v>
      </c>
      <c r="E11" s="2">
        <v>25</v>
      </c>
      <c r="F11" s="3" t="str">
        <f>HYPERLINK("http://www.sah.co.rs/cb100.html?___store=serbian"," Pogledajte proizvod na sajtu -&gt;")</f>
        <v> Pogledajte proizvod na sajtu -&gt;</v>
      </c>
    </row>
    <row r="12" spans="1:6" ht="12.75">
      <c r="A12" s="2">
        <v>11</v>
      </c>
      <c r="B12" t="s">
        <v>4790</v>
      </c>
      <c r="C12" t="s">
        <v>4791</v>
      </c>
      <c r="D12" s="2">
        <v>21</v>
      </c>
      <c r="E12" s="2">
        <v>16</v>
      </c>
      <c r="F12" s="3" t="str">
        <f>HYPERLINK("http://www.sah.co.rs/cb65.html?___store=serbian"," Pogledajte proizvod na sajtu -&gt;")</f>
        <v> Pogledajte proizvod na sajtu -&gt;</v>
      </c>
    </row>
    <row r="13" spans="1:6" ht="12.75">
      <c r="A13" s="2">
        <v>12</v>
      </c>
      <c r="B13" t="s">
        <v>4792</v>
      </c>
      <c r="C13" t="s">
        <v>4793</v>
      </c>
      <c r="D13" s="2">
        <v>20</v>
      </c>
      <c r="E13" s="2">
        <v>28</v>
      </c>
      <c r="F13" s="3" t="str">
        <f>HYPERLINK("http://www.sah.co.rs/cb65adj.html?___store=serbian"," Pogledajte proizvod na sajtu -&gt;")</f>
        <v> Pogledajte proizvod na sajtu -&gt;</v>
      </c>
    </row>
    <row r="14" spans="1:6" ht="12.75">
      <c r="A14" s="2">
        <v>13</v>
      </c>
      <c r="B14" t="s">
        <v>4794</v>
      </c>
      <c r="C14" t="s">
        <v>4795</v>
      </c>
      <c r="D14" s="2">
        <v>0</v>
      </c>
      <c r="E14" s="2">
        <v>20</v>
      </c>
      <c r="F14" s="3" t="str">
        <f>HYPERLINK("http://www.sah.co.rs/cb80.html?___store=serbian"," Pogledajte proizvod na sajtu -&gt;")</f>
        <v> Pogledajte proizvod na sajtu -&gt;</v>
      </c>
    </row>
    <row r="15" spans="1:6" ht="12.75">
      <c r="A15" s="2">
        <v>14</v>
      </c>
      <c r="B15" t="s">
        <v>4796</v>
      </c>
      <c r="C15" t="s">
        <v>4795</v>
      </c>
      <c r="D15" s="2">
        <v>24</v>
      </c>
      <c r="E15" s="2">
        <v>25</v>
      </c>
      <c r="F15" s="3" t="str">
        <f>HYPERLINK("http://www.sah.co.rs/cb80g.html?___store=serbian"," Pogledajte proizvod na sajtu -&gt;")</f>
        <v> Pogledajte proizvod na sajtu -&gt;</v>
      </c>
    </row>
    <row r="16" spans="1:6" ht="12.75">
      <c r="A16" s="2">
        <v>15</v>
      </c>
      <c r="B16" t="s">
        <v>4797</v>
      </c>
      <c r="C16" t="s">
        <v>4798</v>
      </c>
      <c r="D16" s="2">
        <v>3</v>
      </c>
      <c r="E16" s="2">
        <v>30</v>
      </c>
      <c r="F16" s="3" t="str">
        <f>HYPERLINK("http://www.sah.co.rs/cb80adj.html?___store=serbian"," Pogledajte proizvod na sajtu -&gt;")</f>
        <v> Pogledajte proizvod na sajtu -&gt;</v>
      </c>
    </row>
    <row r="17" spans="1:6" ht="12.75">
      <c r="A17" s="2">
        <v>16</v>
      </c>
      <c r="B17" t="s">
        <v>4799</v>
      </c>
      <c r="C17" t="s">
        <v>4800</v>
      </c>
      <c r="D17" s="2">
        <v>9</v>
      </c>
      <c r="E17" s="2">
        <v>45</v>
      </c>
      <c r="F17" s="3" t="str">
        <f>HYPERLINK("http://www.sah.co.rs/cb80adj-2p.html?___store=serbian"," Pogledajte proizvod na sajtu -&gt;")</f>
        <v> Pogledajte proizvod na sajtu -&gt;</v>
      </c>
    </row>
    <row r="18" spans="1:6" ht="12.75">
      <c r="A18" s="2">
        <v>17</v>
      </c>
      <c r="B18" t="s">
        <v>4801</v>
      </c>
      <c r="C18" t="s">
        <v>4802</v>
      </c>
      <c r="D18" s="2">
        <v>1</v>
      </c>
      <c r="E18" s="2">
        <v>25</v>
      </c>
      <c r="F18" s="3" t="str">
        <f>HYPERLINK("http://www.sah.co.rs/td-5000.html?___store=serbian"," Pogledajte proizvod na sajtu -&gt;")</f>
        <v> Pogledajte proizvod na sajtu -&gt;</v>
      </c>
    </row>
    <row r="19" spans="1:6" ht="12.75">
      <c r="A19" s="2">
        <v>18</v>
      </c>
      <c r="B19" t="s">
        <v>4803</v>
      </c>
      <c r="C19" t="s">
        <v>4804</v>
      </c>
      <c r="D19" s="2">
        <v>1</v>
      </c>
      <c r="E19" s="2">
        <v>18</v>
      </c>
      <c r="F19" s="3" t="str">
        <f>HYPERLINK("http://www.sah.co.rs/td-703.html?___store=serbian"," Pogledajte proizvod na sajtu -&gt;")</f>
        <v> Pogledajte proizvod na sajtu -&gt;</v>
      </c>
    </row>
    <row r="20" spans="1:6" ht="12.75">
      <c r="A20" s="2">
        <v>19</v>
      </c>
      <c r="B20" t="s">
        <v>4805</v>
      </c>
      <c r="C20" t="s">
        <v>4806</v>
      </c>
      <c r="D20" s="2">
        <v>13</v>
      </c>
      <c r="E20" s="2">
        <v>18</v>
      </c>
      <c r="F20" s="3" t="str">
        <f>HYPERLINK("http://www.sah.co.rs/sqd-3200.html?___store=serbian"," Pogledajte proizvod na sajtu -&gt;")</f>
        <v> Pogledajte proizvod na sajtu -&gt;</v>
      </c>
    </row>
    <row r="21" spans="1:6" ht="12.75">
      <c r="A21" s="2">
        <v>20</v>
      </c>
      <c r="B21" t="s">
        <v>4807</v>
      </c>
      <c r="C21" t="s">
        <v>4808</v>
      </c>
      <c r="D21" s="2">
        <v>11</v>
      </c>
      <c r="E21" s="2">
        <v>25</v>
      </c>
      <c r="F21" s="3" t="str">
        <f>HYPERLINK("http://www.sah.co.rs/sp-4500.html?___store=serbian"," Pogledajte proizvod na sajtu -&gt;")</f>
        <v> Pogledajte proizvod na sajtu -&gt;</v>
      </c>
    </row>
    <row r="22" spans="1:6" ht="12.75">
      <c r="A22" s="2">
        <v>21</v>
      </c>
      <c r="B22" t="s">
        <v>4809</v>
      </c>
      <c r="C22" t="s">
        <v>4810</v>
      </c>
      <c r="D22" s="2">
        <v>1</v>
      </c>
      <c r="E22" s="2">
        <v>14</v>
      </c>
      <c r="F22" s="3" t="str">
        <f>HYPERLINK("http://www.sah.co.rs/c16-er11a-100l.html?___store=serbian"," Pogledajte proizvod na sajtu -&gt;")</f>
        <v> Pogledajte proizvod na sajtu -&gt;</v>
      </c>
    </row>
    <row r="23" spans="1:6" ht="12.75">
      <c r="A23" s="2">
        <v>22</v>
      </c>
      <c r="B23" t="s">
        <v>4811</v>
      </c>
      <c r="C23" t="s">
        <v>4812</v>
      </c>
      <c r="D23" s="2">
        <v>2</v>
      </c>
      <c r="E23" s="2">
        <v>16</v>
      </c>
      <c r="F23" s="3" t="str">
        <f>HYPERLINK("http://www.sah.co.rs/c16-er11a-150l.html?___store=serbian"," Pogledajte proizvod na sajtu -&gt;")</f>
        <v> Pogledajte proizvod na sajtu -&gt;</v>
      </c>
    </row>
    <row r="24" spans="1:6" ht="12.75">
      <c r="A24" s="2">
        <v>23</v>
      </c>
      <c r="B24" t="s">
        <v>4813</v>
      </c>
      <c r="C24" t="s">
        <v>4814</v>
      </c>
      <c r="D24" s="2">
        <v>3</v>
      </c>
      <c r="E24" s="2">
        <v>17</v>
      </c>
      <c r="F24" s="3" t="str">
        <f>HYPERLINK("http://www.sah.co.rs/c20-er11a-150l.html?___store=serbian"," Pogledajte proizvod na sajtu -&gt;")</f>
        <v> Pogledajte proizvod na sajtu -&gt;</v>
      </c>
    </row>
    <row r="25" spans="1:6" ht="12.75">
      <c r="A25" s="2">
        <v>24</v>
      </c>
      <c r="B25" t="s">
        <v>4815</v>
      </c>
      <c r="C25" t="s">
        <v>4816</v>
      </c>
      <c r="D25" s="2">
        <v>2</v>
      </c>
      <c r="E25" s="2">
        <v>16</v>
      </c>
      <c r="F25" s="3" t="str">
        <f>HYPERLINK("http://www.sah.co.rs/c20-er20a-100l.html?___store=serbian"," Pogledajte proizvod na sajtu -&gt;")</f>
        <v> Pogledajte proizvod na sajtu -&gt;</v>
      </c>
    </row>
    <row r="26" spans="1:6" ht="12.75">
      <c r="A26" s="2">
        <v>25</v>
      </c>
      <c r="B26" t="s">
        <v>4817</v>
      </c>
      <c r="C26" t="s">
        <v>4818</v>
      </c>
      <c r="D26" s="2">
        <v>9</v>
      </c>
      <c r="E26" s="2">
        <v>4</v>
      </c>
      <c r="F26" s="3" t="str">
        <f>HYPERLINK("http://www.sah.co.rs/spare-brush-1m.html?___store=serbian"," Pogledajte proizvod na sajtu -&gt;")</f>
        <v> Pogledajte proizvod na sajtu -&gt;</v>
      </c>
    </row>
    <row r="27" spans="1:6" ht="12.75">
      <c r="A27" s="2">
        <v>26</v>
      </c>
      <c r="B27" t="s">
        <v>4819</v>
      </c>
      <c r="C27" t="s">
        <v>4820</v>
      </c>
      <c r="D27" s="2">
        <v>12</v>
      </c>
      <c r="E27" s="2">
        <v>3</v>
      </c>
      <c r="F27" s="3" t="str">
        <f>HYPERLINK("http://www.sah.co.rs/er16-10.html?___store=serbian"," Pogledajte proizvod na sajtu -&gt;")</f>
        <v> Pogledajte proizvod na sajtu -&gt;</v>
      </c>
    </row>
    <row r="28" spans="1:6" ht="12.75">
      <c r="A28" s="2">
        <v>27</v>
      </c>
      <c r="B28" t="s">
        <v>4821</v>
      </c>
      <c r="C28" t="s">
        <v>4822</v>
      </c>
      <c r="D28" s="2">
        <v>96</v>
      </c>
      <c r="E28" s="2">
        <v>3</v>
      </c>
      <c r="F28" s="3" t="str">
        <f>HYPERLINK("http://www.sah.co.rs/er16-3-175.html?___store=serbian"," Pogledajte proizvod na sajtu -&gt;")</f>
        <v> Pogledajte proizvod na sajtu -&gt;</v>
      </c>
    </row>
    <row r="29" spans="1:6" ht="12.75">
      <c r="A29" s="2">
        <v>28</v>
      </c>
      <c r="B29" t="s">
        <v>4823</v>
      </c>
      <c r="C29" t="s">
        <v>4824</v>
      </c>
      <c r="D29" s="2">
        <v>46</v>
      </c>
      <c r="E29" s="2">
        <v>3</v>
      </c>
      <c r="F29" s="3" t="str">
        <f>HYPERLINK("http://www.sah.co.rs/er16-6.html?___store=serbian"," Pogledajte proizvod na sajtu -&gt;")</f>
        <v> Pogledajte proizvod na sajtu -&gt;</v>
      </c>
    </row>
    <row r="30" spans="1:6" ht="12.75">
      <c r="A30" s="2">
        <v>29</v>
      </c>
      <c r="B30" t="s">
        <v>4825</v>
      </c>
      <c r="C30" t="s">
        <v>4826</v>
      </c>
      <c r="D30" s="2">
        <v>27</v>
      </c>
      <c r="E30" s="2">
        <v>3</v>
      </c>
      <c r="F30" s="3" t="str">
        <f>HYPERLINK("http://www.sah.co.rs/er16-8.html?___store=serbian"," Pogledajte proizvod na sajtu -&gt;")</f>
        <v> Pogledajte proizvod na sajtu -&gt;</v>
      </c>
    </row>
    <row r="31" spans="1:6" ht="12.75">
      <c r="A31" s="2">
        <v>30</v>
      </c>
      <c r="B31" t="s">
        <v>4827</v>
      </c>
      <c r="C31" t="s">
        <v>4828</v>
      </c>
      <c r="D31" s="2">
        <v>11</v>
      </c>
      <c r="E31" s="2">
        <v>4</v>
      </c>
      <c r="F31" s="3" t="str">
        <f>HYPERLINK("http://www.sah.co.rs/er20-10.html?___store=serbian"," Pogledajte proizvod na sajtu -&gt;")</f>
        <v> Pogledajte proizvod na sajtu -&gt;</v>
      </c>
    </row>
    <row r="32" spans="1:6" ht="12.75">
      <c r="A32" s="2">
        <v>31</v>
      </c>
      <c r="B32" t="s">
        <v>4829</v>
      </c>
      <c r="C32" t="s">
        <v>4830</v>
      </c>
      <c r="D32" s="2">
        <v>10</v>
      </c>
      <c r="E32" s="2">
        <v>4</v>
      </c>
      <c r="F32" s="3" t="str">
        <f>HYPERLINK("http://www.sah.co.rs/er20-12.html?___store=serbian"," Pogledajte proizvod na sajtu -&gt;")</f>
        <v> Pogledajte proizvod na sajtu -&gt;</v>
      </c>
    </row>
    <row r="33" spans="1:6" ht="12.75">
      <c r="A33" s="2">
        <v>32</v>
      </c>
      <c r="B33" t="s">
        <v>4831</v>
      </c>
      <c r="C33" t="s">
        <v>4832</v>
      </c>
      <c r="D33" s="2">
        <v>45</v>
      </c>
      <c r="E33" s="2">
        <v>4</v>
      </c>
      <c r="F33" s="3" t="str">
        <f>HYPERLINK("http://www.sah.co.rs/er20-3-175.html?___store=serbian"," Pogledajte proizvod na sajtu -&gt;")</f>
        <v> Pogledajte proizvod na sajtu -&gt;</v>
      </c>
    </row>
    <row r="34" spans="1:6" ht="12.75">
      <c r="A34" s="2">
        <v>33</v>
      </c>
      <c r="B34" t="s">
        <v>4833</v>
      </c>
      <c r="C34" t="s">
        <v>4834</v>
      </c>
      <c r="D34" s="2">
        <v>16</v>
      </c>
      <c r="E34" s="2">
        <v>4</v>
      </c>
      <c r="F34" s="3" t="str">
        <f>HYPERLINK("http://www.sah.co.rs/er20-4.html?___store=serbian"," Pogledajte proizvod na sajtu -&gt;")</f>
        <v> Pogledajte proizvod na sajtu -&gt;</v>
      </c>
    </row>
    <row r="35" spans="1:6" ht="12.75">
      <c r="A35" s="2">
        <v>34</v>
      </c>
      <c r="B35" t="s">
        <v>4835</v>
      </c>
      <c r="C35" t="s">
        <v>4836</v>
      </c>
      <c r="D35" s="2">
        <v>20</v>
      </c>
      <c r="E35" s="2">
        <v>4</v>
      </c>
      <c r="F35" s="3" t="str">
        <f>HYPERLINK("http://www.sah.co.rs/er20-5.html?___store=serbian"," Pogledajte proizvod na sajtu -&gt;")</f>
        <v> Pogledajte proizvod na sajtu -&gt;</v>
      </c>
    </row>
    <row r="36" spans="1:6" ht="12.75">
      <c r="A36" s="2">
        <v>35</v>
      </c>
      <c r="B36" t="s">
        <v>4837</v>
      </c>
      <c r="C36" t="s">
        <v>4838</v>
      </c>
      <c r="D36" s="2">
        <v>47</v>
      </c>
      <c r="E36" s="2">
        <v>4</v>
      </c>
      <c r="F36" s="3" t="str">
        <f>HYPERLINK("http://www.sah.co.rs/er20-6.html?___store=serbian"," Pogledajte proizvod na sajtu -&gt;")</f>
        <v> Pogledajte proizvod na sajtu -&gt;</v>
      </c>
    </row>
    <row r="37" spans="1:6" ht="12.75">
      <c r="A37" s="2">
        <v>36</v>
      </c>
      <c r="B37" t="s">
        <v>4839</v>
      </c>
      <c r="C37" t="s">
        <v>4840</v>
      </c>
      <c r="D37" s="2">
        <v>39</v>
      </c>
      <c r="E37" s="2">
        <v>4</v>
      </c>
      <c r="F37" s="3" t="str">
        <f>HYPERLINK("http://www.sah.co.rs/er20-8.html?___store=serbian"," Pogledajte proizvod na sajtu -&gt;")</f>
        <v> Pogledajte proizvod na sajtu -&gt;</v>
      </c>
    </row>
    <row r="38" spans="1:6" ht="12.75">
      <c r="A38" s="2">
        <v>37</v>
      </c>
      <c r="B38" t="s">
        <v>4841</v>
      </c>
      <c r="C38" t="s">
        <v>4842</v>
      </c>
      <c r="D38" s="2">
        <v>18</v>
      </c>
      <c r="E38" s="2">
        <v>4</v>
      </c>
      <c r="F38" s="3" t="str">
        <f>HYPERLINK("http://www.sah.co.rs/er25-10.html?___store=serbian"," Pogledajte proizvod na sajtu -&gt;")</f>
        <v> Pogledajte proizvod na sajtu -&gt;</v>
      </c>
    </row>
    <row r="39" spans="1:6" ht="12.75">
      <c r="A39" s="2">
        <v>38</v>
      </c>
      <c r="B39" t="s">
        <v>4843</v>
      </c>
      <c r="C39" t="s">
        <v>4844</v>
      </c>
      <c r="D39" s="2">
        <v>8</v>
      </c>
      <c r="E39" s="2">
        <v>4</v>
      </c>
      <c r="F39" s="3" t="str">
        <f>HYPERLINK("http://www.sah.co.rs/er25-12.html?___store=serbian"," Pogledajte proizvod na sajtu -&gt;")</f>
        <v> Pogledajte proizvod na sajtu -&gt;</v>
      </c>
    </row>
    <row r="40" spans="1:6" ht="12.75">
      <c r="A40" s="2">
        <v>39</v>
      </c>
      <c r="B40" t="s">
        <v>4845</v>
      </c>
      <c r="C40" t="s">
        <v>4846</v>
      </c>
      <c r="D40" s="2">
        <v>10</v>
      </c>
      <c r="E40" s="2">
        <v>4</v>
      </c>
      <c r="F40" s="3" t="str">
        <f>HYPERLINK("http://www.sah.co.rs/er25-13.html?___store=serbian"," Pogledajte proizvod na sajtu -&gt;")</f>
        <v> Pogledajte proizvod na sajtu -&gt;</v>
      </c>
    </row>
    <row r="41" spans="1:6" ht="12.75">
      <c r="A41" s="2">
        <v>40</v>
      </c>
      <c r="B41" t="s">
        <v>4847</v>
      </c>
      <c r="C41" t="s">
        <v>4848</v>
      </c>
      <c r="D41" s="2">
        <v>9</v>
      </c>
      <c r="E41" s="2">
        <v>4</v>
      </c>
      <c r="F41" s="3" t="str">
        <f>HYPERLINK("http://www.sah.co.rs/er25-16.html?___store=serbian"," Pogledajte proizvod na sajtu -&gt;")</f>
        <v> Pogledajte proizvod na sajtu -&gt;</v>
      </c>
    </row>
    <row r="42" spans="1:6" ht="12.75">
      <c r="A42" s="2">
        <v>41</v>
      </c>
      <c r="B42" t="s">
        <v>4849</v>
      </c>
      <c r="C42" t="s">
        <v>4850</v>
      </c>
      <c r="D42" s="2">
        <v>20</v>
      </c>
      <c r="E42" s="2">
        <v>4</v>
      </c>
      <c r="F42" s="3" t="str">
        <f>HYPERLINK("http://www.sah.co.rs/er25-3-175.html?___store=serbian"," Pogledajte proizvod na sajtu -&gt;")</f>
        <v> Pogledajte proizvod na sajtu -&gt;</v>
      </c>
    </row>
    <row r="43" spans="1:6" ht="12.75">
      <c r="A43" s="2">
        <v>42</v>
      </c>
      <c r="B43" t="s">
        <v>4851</v>
      </c>
      <c r="C43" t="s">
        <v>4852</v>
      </c>
      <c r="D43" s="2">
        <v>19</v>
      </c>
      <c r="E43" s="2">
        <v>4</v>
      </c>
      <c r="F43" s="3" t="str">
        <f>HYPERLINK("http://www.sah.co.rs/er25-6.html?___store=serbian"," Pogledajte proizvod na sajtu -&gt;")</f>
        <v> Pogledajte proizvod na sajtu -&gt;</v>
      </c>
    </row>
    <row r="44" spans="1:6" ht="12.75">
      <c r="A44" s="2">
        <v>43</v>
      </c>
      <c r="B44" t="s">
        <v>4853</v>
      </c>
      <c r="C44" t="s">
        <v>4854</v>
      </c>
      <c r="D44" s="2">
        <v>18</v>
      </c>
      <c r="E44" s="2">
        <v>4</v>
      </c>
      <c r="F44" s="3" t="str">
        <f>HYPERLINK("http://www.sah.co.rs/er25-8.html?___store=serbian"," Pogledajte proizvod na sajtu -&gt;")</f>
        <v> Pogledajte proizvod na sajtu -&gt;</v>
      </c>
    </row>
    <row r="45" spans="1:6" ht="12.75">
      <c r="A45" s="2">
        <v>44</v>
      </c>
      <c r="B45" t="s">
        <v>4855</v>
      </c>
      <c r="C45" t="s">
        <v>4856</v>
      </c>
      <c r="D45" s="2">
        <v>9</v>
      </c>
      <c r="E45" s="2">
        <v>4</v>
      </c>
      <c r="F45" s="3" t="str">
        <f>HYPERLINK("http://www.sah.co.rs/er32-10.html?___store=serbian"," Pogledajte proizvod na sajtu -&gt;")</f>
        <v> Pogledajte proizvod na sajtu -&gt;</v>
      </c>
    </row>
    <row r="46" spans="1:6" ht="12.75">
      <c r="A46" s="2">
        <v>45</v>
      </c>
      <c r="B46" t="s">
        <v>4857</v>
      </c>
      <c r="C46" t="s">
        <v>4858</v>
      </c>
      <c r="D46" s="2">
        <v>9</v>
      </c>
      <c r="E46" s="2">
        <v>4</v>
      </c>
      <c r="F46" s="3" t="str">
        <f>HYPERLINK("http://www.sah.co.rs/er32-12.html?___store=serbian"," Pogledajte proizvod na sajtu -&gt;")</f>
        <v> Pogledajte proizvod na sajtu -&gt;</v>
      </c>
    </row>
    <row r="47" spans="1:6" ht="12.75">
      <c r="A47" s="2">
        <v>46</v>
      </c>
      <c r="B47" t="s">
        <v>4859</v>
      </c>
      <c r="C47" t="s">
        <v>4860</v>
      </c>
      <c r="D47" s="2">
        <v>9</v>
      </c>
      <c r="E47" s="2">
        <v>4</v>
      </c>
      <c r="F47" s="3" t="str">
        <f>HYPERLINK("http://www.sah.co.rs/er32-16.html?___store=serbian"," Pogledajte proizvod na sajtu -&gt;")</f>
        <v> Pogledajte proizvod na sajtu -&gt;</v>
      </c>
    </row>
    <row r="48" spans="1:6" ht="12.75">
      <c r="A48" s="2">
        <v>47</v>
      </c>
      <c r="B48" t="s">
        <v>4861</v>
      </c>
      <c r="C48" t="s">
        <v>4862</v>
      </c>
      <c r="D48" s="2">
        <v>10</v>
      </c>
      <c r="E48" s="2">
        <v>4</v>
      </c>
      <c r="F48" s="3" t="str">
        <f>HYPERLINK("http://www.sah.co.rs/er32-18.html?___store=serbian"," Pogledajte proizvod na sajtu -&gt;")</f>
        <v> Pogledajte proizvod na sajtu -&gt;</v>
      </c>
    </row>
    <row r="49" spans="1:6" ht="12.75">
      <c r="A49" s="2">
        <v>48</v>
      </c>
      <c r="B49" t="s">
        <v>4863</v>
      </c>
      <c r="C49" t="s">
        <v>4864</v>
      </c>
      <c r="D49" s="2">
        <v>10</v>
      </c>
      <c r="E49" s="2">
        <v>4</v>
      </c>
      <c r="F49" s="3" t="str">
        <f>HYPERLINK("http://www.sah.co.rs/er32-20.html?___store=serbian"," Pogledajte proizvod na sajtu -&gt;")</f>
        <v> Pogledajte proizvod na sajtu -&gt;</v>
      </c>
    </row>
    <row r="50" spans="1:6" ht="12.75">
      <c r="A50" s="2">
        <v>49</v>
      </c>
      <c r="B50" t="s">
        <v>4865</v>
      </c>
      <c r="C50" t="s">
        <v>4866</v>
      </c>
      <c r="D50" s="2">
        <v>18</v>
      </c>
      <c r="E50" s="2">
        <v>2.8</v>
      </c>
      <c r="F50" s="3" t="str">
        <f>HYPERLINK("http://www.sah.co.rs/er11-a.html?___store=serbian"," Pogledajte proizvod na sajtu -&gt;")</f>
        <v> Pogledajte proizvod na sajtu -&gt;</v>
      </c>
    </row>
    <row r="51" spans="1:6" ht="12.75">
      <c r="A51" s="2">
        <v>50</v>
      </c>
      <c r="B51" t="s">
        <v>4867</v>
      </c>
      <c r="C51" t="s">
        <v>4868</v>
      </c>
      <c r="D51" s="2">
        <v>28</v>
      </c>
      <c r="E51" s="2">
        <v>2.8</v>
      </c>
      <c r="F51" s="3" t="str">
        <f>HYPERLINK("http://www.sah.co.rs/er16-a19.html?___store=serbian"," Pogledajte proizvod na sajtu -&gt;")</f>
        <v> Pogledajte proizvod na sajtu -&gt;</v>
      </c>
    </row>
    <row r="52" spans="1:6" ht="12.75">
      <c r="A52" s="2">
        <v>51</v>
      </c>
      <c r="B52" t="s">
        <v>4869</v>
      </c>
      <c r="C52" t="s">
        <v>4870</v>
      </c>
      <c r="D52" s="2">
        <v>20</v>
      </c>
      <c r="E52" s="2">
        <v>2.8</v>
      </c>
      <c r="F52" s="3" t="str">
        <f>HYPERLINK("http://www.sah.co.rs/er16-a22.html?___store=serbian"," Pogledajte proizvod na sajtu -&gt;")</f>
        <v> Pogledajte proizvod na sajtu -&gt;</v>
      </c>
    </row>
    <row r="53" spans="1:6" ht="12.75">
      <c r="A53" s="2">
        <v>52</v>
      </c>
      <c r="B53" t="s">
        <v>4871</v>
      </c>
      <c r="C53" t="s">
        <v>4872</v>
      </c>
      <c r="D53" s="2">
        <v>10</v>
      </c>
      <c r="E53" s="2">
        <v>4</v>
      </c>
      <c r="F53" s="3" t="str">
        <f>HYPERLINK("http://www.sah.co.rs/er20a.html?___store=serbian"," Pogledajte proizvod na sajtu -&gt;")</f>
        <v> Pogledajte proizvod na sajtu -&gt;</v>
      </c>
    </row>
    <row r="54" spans="1:6" ht="12.75">
      <c r="A54" s="2">
        <v>53</v>
      </c>
      <c r="B54" t="s">
        <v>4873</v>
      </c>
      <c r="C54" t="s">
        <v>4872</v>
      </c>
      <c r="D54" s="2">
        <v>20</v>
      </c>
      <c r="E54" s="2">
        <v>3.5</v>
      </c>
      <c r="F54" s="3" t="str">
        <f>HYPERLINK("http://www.sah.co.rs/er20-a.html?___store=serbian","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9.00390625" style="0" customWidth="1"/>
    <col min="3" max="3" width="47.421875" style="0" customWidth="1"/>
    <col min="4" max="4" width="6.140625" style="0" customWidth="1"/>
    <col min="5" max="5" width="7.421875" style="0" customWidth="1"/>
    <col min="6" max="6" width="27.00390625" style="0" customWidth="1"/>
    <col min="7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1</v>
      </c>
      <c r="B2" t="s">
        <v>332</v>
      </c>
      <c r="C2" t="s">
        <v>333</v>
      </c>
      <c r="D2" s="2">
        <v>0</v>
      </c>
      <c r="E2" s="2">
        <v>270</v>
      </c>
      <c r="F2" s="3" t="str">
        <f>HYPERLINK("http://www.sah.co.rs/sds6-2v.html?___store=serbian"," Pogledajte proizvod na sajtu -&gt;")</f>
        <v> Pogledajte proizvod na sajtu -&gt;</v>
      </c>
    </row>
    <row r="3" spans="1:6" ht="12.75">
      <c r="A3" s="2">
        <v>2</v>
      </c>
      <c r="B3" t="s">
        <v>334</v>
      </c>
      <c r="C3" t="s">
        <v>335</v>
      </c>
      <c r="D3" s="2">
        <v>8</v>
      </c>
      <c r="E3" s="2">
        <v>220</v>
      </c>
      <c r="F3" s="3" t="str">
        <f>HYPERLINK("http://www.sah.co.rs/sds3-1.html?___store=serbian"," Pogledajte proizvod na sajtu -&gt;")</f>
        <v> Pogledajte proizvod na sajtu -&gt;</v>
      </c>
    </row>
    <row r="4" spans="1:6" ht="12.75">
      <c r="A4" s="2">
        <v>3</v>
      </c>
      <c r="B4" t="s">
        <v>336</v>
      </c>
      <c r="C4" t="s">
        <v>337</v>
      </c>
      <c r="D4" s="2">
        <v>14</v>
      </c>
      <c r="E4" s="2">
        <v>300</v>
      </c>
      <c r="F4" s="3" t="str">
        <f>HYPERLINK("http://www.sah.co.rs/sds6-3v.html?___store=serbian"," Pogledajte proizvod na sajtu -&gt;")</f>
        <v> Pogledajte proizvod na sajtu -&gt;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2018-01-22T08:59:08Z</dcterms:modified>
  <cp:category/>
  <cp:version/>
  <cp:contentType/>
  <cp:contentStatus/>
  <cp:revision>1</cp:revision>
</cp:coreProperties>
</file>